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24226"/>
  <xr:revisionPtr revIDLastSave="0" documentId="13_ncr:1_{55025414-5765-4AD5-9575-2D7BAF8BE6D9}" xr6:coauthVersionLast="47" xr6:coauthVersionMax="47" xr10:uidLastSave="{00000000-0000-0000-0000-000000000000}"/>
  <bookViews>
    <workbookView xWindow="-120" yWindow="-120" windowWidth="20730" windowHeight="11160" tabRatio="919" firstSheet="7" activeTab="18"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 sheetId="92"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80" l="1"/>
  <c r="S8" i="35" l="1"/>
  <c r="S9" i="35"/>
  <c r="S10" i="35"/>
  <c r="S11" i="35"/>
  <c r="S12" i="35"/>
  <c r="S13" i="35"/>
  <c r="S14" i="35"/>
  <c r="S15" i="35"/>
  <c r="S16" i="35"/>
  <c r="S17" i="35"/>
  <c r="S18" i="35"/>
  <c r="S19" i="35"/>
  <c r="S20" i="35"/>
  <c r="S21" i="35"/>
  <c r="C45" i="69"/>
  <c r="C61" i="53"/>
  <c r="D61" i="53"/>
  <c r="C63" i="53"/>
  <c r="D63" i="53"/>
  <c r="F40" i="62"/>
  <c r="F41" i="62"/>
  <c r="C22" i="86"/>
  <c r="C21" i="81" l="1"/>
  <c r="G36" i="80" l="1"/>
  <c r="C23" i="80" l="1"/>
  <c r="D23" i="80"/>
  <c r="G16" i="80" l="1"/>
  <c r="F15" i="80" l="1"/>
  <c r="E15" i="80"/>
  <c r="D15" i="80"/>
  <c r="F15" i="74" l="1"/>
  <c r="C22" i="74"/>
  <c r="C13" i="73" l="1"/>
  <c r="C40" i="62" l="1"/>
  <c r="O19" i="92" l="1"/>
  <c r="N19" i="92"/>
  <c r="I20" i="92" l="1"/>
  <c r="C20" i="92"/>
  <c r="C19" i="87" l="1"/>
  <c r="D15" i="86" l="1"/>
  <c r="E8" i="86"/>
  <c r="F8" i="86"/>
  <c r="G8" i="86"/>
  <c r="H8" i="86"/>
  <c r="I8" i="86"/>
  <c r="J8" i="86"/>
  <c r="K8" i="86"/>
  <c r="L8" i="86"/>
  <c r="M8" i="86"/>
  <c r="N8" i="86"/>
  <c r="O8" i="86"/>
  <c r="P8" i="86"/>
  <c r="Q8" i="86"/>
  <c r="R8" i="86"/>
  <c r="S8" i="86"/>
  <c r="T8" i="86"/>
  <c r="U8" i="86"/>
  <c r="D8" i="86"/>
  <c r="D10" i="87" l="1"/>
  <c r="E10" i="87"/>
  <c r="F10" i="87"/>
  <c r="G10" i="87"/>
  <c r="H10" i="87"/>
  <c r="I10" i="87"/>
  <c r="J10" i="87"/>
  <c r="K10" i="87"/>
  <c r="L10" i="87"/>
  <c r="M10" i="87"/>
  <c r="N10" i="87"/>
  <c r="O10" i="87"/>
  <c r="P10" i="87"/>
  <c r="Q10" i="87"/>
  <c r="R10" i="87"/>
  <c r="S10" i="87"/>
  <c r="T10" i="87"/>
  <c r="C30" i="79" l="1"/>
  <c r="G19" i="75" l="1"/>
  <c r="D19" i="75"/>
  <c r="G16" i="75"/>
  <c r="F16" i="75"/>
  <c r="G13" i="75"/>
  <c r="F13" i="75"/>
  <c r="D13" i="75" l="1"/>
  <c r="C13" i="75"/>
  <c r="D16" i="75"/>
  <c r="C16" i="75"/>
  <c r="C15" i="72" l="1"/>
  <c r="G31" i="80" l="1"/>
  <c r="C21" i="72" l="1"/>
  <c r="D21" i="72"/>
  <c r="G32" i="75"/>
  <c r="F32" i="75"/>
  <c r="G7" i="75"/>
  <c r="F7" i="75"/>
  <c r="D7" i="75"/>
  <c r="C7" i="75"/>
  <c r="F61" i="53"/>
  <c r="C53" i="53"/>
  <c r="D53" i="53"/>
  <c r="G26" i="80" l="1"/>
  <c r="C21" i="87" l="1"/>
  <c r="C9" i="87" l="1"/>
  <c r="C8" i="87" l="1"/>
  <c r="C17" i="87"/>
  <c r="C20" i="87"/>
  <c r="C18" i="87"/>
  <c r="C15" i="87" l="1"/>
  <c r="C12" i="87"/>
  <c r="C13" i="87"/>
  <c r="C14" i="87"/>
  <c r="C11" i="87"/>
  <c r="C10" i="87" l="1"/>
  <c r="C14" i="86"/>
  <c r="C16" i="86"/>
  <c r="C17" i="86"/>
  <c r="C18" i="86"/>
  <c r="C19" i="86"/>
  <c r="C20" i="86"/>
  <c r="C21" i="86"/>
  <c r="C23" i="86"/>
  <c r="C24" i="86"/>
  <c r="C25" i="86"/>
  <c r="C26" i="86"/>
  <c r="C27" i="86"/>
  <c r="C9" i="86"/>
  <c r="C10" i="86"/>
  <c r="C11" i="86"/>
  <c r="C12" i="86"/>
  <c r="C13" i="86"/>
  <c r="F22" i="82" l="1"/>
  <c r="E22" i="82"/>
  <c r="D22" i="82"/>
  <c r="C22" i="82"/>
  <c r="H21" i="81" l="1"/>
  <c r="I8" i="83" l="1"/>
  <c r="I9" i="83"/>
  <c r="I10" i="83"/>
  <c r="I11" i="83"/>
  <c r="I12" i="83"/>
  <c r="I13" i="83"/>
  <c r="I14" i="83"/>
  <c r="I15" i="83"/>
  <c r="I16" i="83"/>
  <c r="I17" i="83"/>
  <c r="I18" i="83"/>
  <c r="I19" i="83"/>
  <c r="I20" i="83"/>
  <c r="I21" i="83"/>
  <c r="I22" i="83"/>
  <c r="I23" i="83"/>
  <c r="I24" i="83"/>
  <c r="I25" i="83"/>
  <c r="I26" i="83"/>
  <c r="I27" i="83"/>
  <c r="I28" i="83"/>
  <c r="I29" i="83"/>
  <c r="I30" i="83"/>
  <c r="I31" i="83"/>
  <c r="I32" i="83"/>
  <c r="I33" i="83"/>
  <c r="I7" i="83"/>
  <c r="G20" i="80" l="1"/>
  <c r="G19" i="80"/>
  <c r="G13" i="80" l="1"/>
  <c r="G12" i="80"/>
  <c r="G15" i="80" l="1"/>
  <c r="G9" i="80" l="1"/>
  <c r="G10" i="80"/>
  <c r="E22" i="62" l="1"/>
  <c r="E23" i="62"/>
  <c r="E24" i="62"/>
  <c r="E25" i="62"/>
  <c r="E26" i="62"/>
  <c r="E27" i="62"/>
  <c r="E28" i="62"/>
  <c r="E29" i="62"/>
  <c r="E30" i="62"/>
  <c r="G34" i="80" l="1"/>
  <c r="F22" i="75" l="1"/>
  <c r="F19" i="75" s="1"/>
  <c r="D32" i="75"/>
  <c r="C32" i="75"/>
  <c r="G40" i="75"/>
  <c r="F40" i="75"/>
  <c r="D40" i="75"/>
  <c r="C40" i="75"/>
  <c r="I8" i="92" l="1"/>
  <c r="I9" i="92"/>
  <c r="I10" i="92"/>
  <c r="I11" i="92"/>
  <c r="I12" i="92"/>
  <c r="I13" i="92"/>
  <c r="I14" i="92"/>
  <c r="I15" i="92"/>
  <c r="I16" i="92"/>
  <c r="I17" i="92"/>
  <c r="I18" i="92"/>
  <c r="I7" i="92"/>
  <c r="K19" i="92"/>
  <c r="L19" i="92"/>
  <c r="M19" i="92"/>
  <c r="J19" i="92"/>
  <c r="E19" i="92"/>
  <c r="F19" i="92"/>
  <c r="G19" i="92"/>
  <c r="H19" i="92"/>
  <c r="D19" i="92"/>
  <c r="C8" i="92"/>
  <c r="C9" i="92"/>
  <c r="C10" i="92"/>
  <c r="C11" i="92"/>
  <c r="C12" i="92"/>
  <c r="C13" i="92"/>
  <c r="C14" i="92"/>
  <c r="C15" i="92"/>
  <c r="C16" i="92"/>
  <c r="C17" i="92"/>
  <c r="C18" i="92"/>
  <c r="C7" i="92"/>
  <c r="C19" i="92" l="1"/>
  <c r="I19" i="92"/>
  <c r="C15" i="86" l="1"/>
  <c r="C8" i="86" l="1"/>
  <c r="J33" i="88"/>
  <c r="K33" i="88"/>
  <c r="L33" i="88"/>
  <c r="M33" i="88"/>
  <c r="N33" i="88"/>
  <c r="I8" i="88"/>
  <c r="I9" i="88"/>
  <c r="I10" i="88"/>
  <c r="I11" i="88"/>
  <c r="I12" i="88"/>
  <c r="I13" i="88"/>
  <c r="I14" i="88"/>
  <c r="I15" i="88"/>
  <c r="I16" i="88"/>
  <c r="I17" i="88"/>
  <c r="I18" i="88"/>
  <c r="I19" i="88"/>
  <c r="I20" i="88"/>
  <c r="I21" i="88"/>
  <c r="I22" i="88"/>
  <c r="I23" i="88"/>
  <c r="I24" i="88"/>
  <c r="I25" i="88"/>
  <c r="I26" i="88"/>
  <c r="I27" i="88"/>
  <c r="I28" i="88"/>
  <c r="I29" i="88"/>
  <c r="I30" i="88"/>
  <c r="I31" i="88"/>
  <c r="I32" i="88"/>
  <c r="I7" i="88"/>
  <c r="I33" i="88" l="1"/>
  <c r="E33" i="88"/>
  <c r="F33" i="88"/>
  <c r="G33" i="88"/>
  <c r="H33" i="88"/>
  <c r="D33" i="88"/>
  <c r="C8" i="88"/>
  <c r="C9" i="88"/>
  <c r="C10" i="88"/>
  <c r="C11" i="88"/>
  <c r="C12" i="88"/>
  <c r="C13" i="88"/>
  <c r="C14" i="88"/>
  <c r="C15" i="88"/>
  <c r="C16" i="88"/>
  <c r="C17" i="88"/>
  <c r="C18" i="88"/>
  <c r="C19" i="88"/>
  <c r="C20" i="88"/>
  <c r="C21" i="88"/>
  <c r="C22" i="88"/>
  <c r="C23" i="88"/>
  <c r="C24" i="88"/>
  <c r="C25" i="88"/>
  <c r="C26" i="88"/>
  <c r="C27" i="88"/>
  <c r="C28" i="88"/>
  <c r="C29" i="88"/>
  <c r="C30" i="88"/>
  <c r="C31" i="88"/>
  <c r="C32" i="88"/>
  <c r="C7" i="88"/>
  <c r="C33" i="88" l="1"/>
  <c r="C12" i="84"/>
  <c r="C7" i="84"/>
  <c r="G27" i="80" l="1"/>
  <c r="E9" i="37" l="1"/>
  <c r="J23" i="36" l="1"/>
  <c r="I23" i="36"/>
  <c r="K23" i="36" s="1"/>
  <c r="G23" i="36"/>
  <c r="F23" i="36"/>
  <c r="D21" i="36"/>
  <c r="F21" i="36"/>
  <c r="G21" i="36"/>
  <c r="I21" i="36"/>
  <c r="J21" i="36"/>
  <c r="C21" i="36"/>
  <c r="J16" i="36"/>
  <c r="I16" i="36"/>
  <c r="G16" i="36"/>
  <c r="F16" i="36"/>
  <c r="C16" i="36"/>
  <c r="D16" i="36"/>
  <c r="I24" i="36" l="1"/>
  <c r="I25" i="36" s="1"/>
  <c r="J24" i="36"/>
  <c r="K24" i="36" s="1"/>
  <c r="K25" i="36" s="1"/>
  <c r="F24" i="36"/>
  <c r="G24" i="36"/>
  <c r="G25" i="36" s="1"/>
  <c r="H23" i="36"/>
  <c r="H24" i="36" l="1"/>
  <c r="H25" i="36" s="1"/>
  <c r="J25" i="36"/>
  <c r="F25" i="36"/>
  <c r="K10" i="36"/>
  <c r="K11" i="36"/>
  <c r="K13" i="36"/>
  <c r="K15" i="36"/>
  <c r="K19" i="36"/>
  <c r="K21" i="36" s="1"/>
  <c r="K8" i="36"/>
  <c r="H10" i="36"/>
  <c r="H11" i="36"/>
  <c r="H13" i="36"/>
  <c r="H15" i="36"/>
  <c r="H19" i="36"/>
  <c r="H21" i="36" s="1"/>
  <c r="H8" i="36"/>
  <c r="E11" i="36"/>
  <c r="E12" i="36"/>
  <c r="E13" i="36"/>
  <c r="E15" i="36"/>
  <c r="E19" i="36"/>
  <c r="E21" i="36" s="1"/>
  <c r="E10" i="36"/>
  <c r="E16" i="36" l="1"/>
  <c r="K16" i="36"/>
  <c r="H16" i="36"/>
  <c r="H9" i="74"/>
  <c r="H10" i="74"/>
  <c r="H11" i="74"/>
  <c r="H12" i="74"/>
  <c r="H13" i="74"/>
  <c r="H14" i="74"/>
  <c r="H15" i="74"/>
  <c r="H16" i="74"/>
  <c r="H17" i="74"/>
  <c r="H18" i="74"/>
  <c r="H19" i="74"/>
  <c r="H20" i="74"/>
  <c r="H21" i="74"/>
  <c r="H8" i="74"/>
  <c r="C15" i="69" l="1"/>
  <c r="E9" i="72" l="1"/>
  <c r="E10" i="72"/>
  <c r="E11" i="72"/>
  <c r="E12" i="72"/>
  <c r="E13" i="72"/>
  <c r="E14" i="72"/>
  <c r="E15" i="72"/>
  <c r="E16" i="72"/>
  <c r="E17" i="72"/>
  <c r="E18" i="72"/>
  <c r="E19" i="72"/>
  <c r="E20" i="72"/>
  <c r="E8" i="72"/>
  <c r="B2" i="71" l="1"/>
  <c r="G14" i="62" l="1"/>
  <c r="F14" i="62"/>
  <c r="C22" i="75" l="1"/>
  <c r="C19" i="75" s="1"/>
  <c r="D14" i="62"/>
  <c r="D20" i="62" s="1"/>
  <c r="C14" i="62"/>
  <c r="C20" i="62" s="1"/>
  <c r="B1" i="89" l="1"/>
  <c r="B1" i="92" s="1"/>
  <c r="B1" i="88"/>
  <c r="B1" i="87"/>
  <c r="B1" i="86"/>
  <c r="B1" i="85"/>
  <c r="B1" i="84"/>
  <c r="B1" i="83"/>
  <c r="B1" i="82"/>
  <c r="B1" i="81"/>
  <c r="C21" i="82" l="1"/>
  <c r="D22" i="81"/>
  <c r="E22" i="81"/>
  <c r="F22" i="81"/>
  <c r="G22" i="81"/>
  <c r="C22" i="81"/>
  <c r="B2" i="89" l="1"/>
  <c r="B2" i="92" s="1"/>
  <c r="B2" i="88"/>
  <c r="B2" i="87"/>
  <c r="B2" i="86"/>
  <c r="B2" i="85"/>
  <c r="B2" i="84"/>
  <c r="B2" i="83"/>
  <c r="B2" i="82"/>
  <c r="B2" i="81"/>
  <c r="C10" i="85" l="1"/>
  <c r="C19" i="85" s="1"/>
  <c r="D12" i="84"/>
  <c r="D7" i="84"/>
  <c r="D19" i="84" s="1"/>
  <c r="H34" i="83"/>
  <c r="G34" i="83"/>
  <c r="F34" i="83"/>
  <c r="E34" i="83"/>
  <c r="D34" i="83"/>
  <c r="C34" i="83"/>
  <c r="I23" i="82"/>
  <c r="I22" i="82"/>
  <c r="H21" i="82"/>
  <c r="G21" i="82"/>
  <c r="F21" i="82"/>
  <c r="E21" i="82"/>
  <c r="D21" i="82"/>
  <c r="I20" i="82"/>
  <c r="I19" i="82"/>
  <c r="I18" i="82"/>
  <c r="I17" i="82"/>
  <c r="I16" i="82"/>
  <c r="I15" i="82"/>
  <c r="I14" i="82"/>
  <c r="I13" i="82"/>
  <c r="I12" i="82"/>
  <c r="I11" i="82"/>
  <c r="I10" i="82"/>
  <c r="I9" i="82"/>
  <c r="I8" i="82"/>
  <c r="I7" i="82"/>
  <c r="H20" i="81"/>
  <c r="H19" i="81"/>
  <c r="H18" i="81"/>
  <c r="H17" i="81"/>
  <c r="H16" i="81"/>
  <c r="H15" i="81"/>
  <c r="H14" i="81"/>
  <c r="H13" i="81"/>
  <c r="H12" i="81"/>
  <c r="H11" i="81"/>
  <c r="H10" i="81"/>
  <c r="H9" i="81"/>
  <c r="H8" i="81"/>
  <c r="I34" i="83" l="1"/>
  <c r="C19" i="84"/>
  <c r="I21" i="82"/>
  <c r="H22" i="81"/>
  <c r="B2" i="80"/>
  <c r="B1" i="80"/>
  <c r="G33" i="80"/>
  <c r="F33" i="80"/>
  <c r="E33" i="80"/>
  <c r="D33" i="80"/>
  <c r="C33" i="80"/>
  <c r="G24" i="80"/>
  <c r="G37" i="80" s="1"/>
  <c r="F24" i="80"/>
  <c r="E24" i="80"/>
  <c r="D24" i="80"/>
  <c r="C24" i="80"/>
  <c r="G18" i="80"/>
  <c r="E18" i="80"/>
  <c r="D18" i="80"/>
  <c r="C18" i="80"/>
  <c r="G14" i="80"/>
  <c r="F14" i="80"/>
  <c r="E14" i="80"/>
  <c r="D14" i="80"/>
  <c r="C14" i="80"/>
  <c r="G11" i="80"/>
  <c r="F11" i="80"/>
  <c r="E11" i="80"/>
  <c r="D11" i="80"/>
  <c r="C11" i="80"/>
  <c r="G8" i="80"/>
  <c r="F8" i="80"/>
  <c r="E8" i="80"/>
  <c r="D8" i="80"/>
  <c r="C8" i="80"/>
  <c r="G21" i="80" l="1"/>
  <c r="G39" i="80" s="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M7" i="37"/>
  <c r="M21" i="37" s="1"/>
  <c r="L7" i="37"/>
  <c r="L21" i="37" s="1"/>
  <c r="J7" i="37"/>
  <c r="J21" i="37" s="1"/>
  <c r="I7" i="37"/>
  <c r="H7" i="37"/>
  <c r="G7" i="37"/>
  <c r="F7" i="37"/>
  <c r="F21" i="37" s="1"/>
  <c r="C7" i="37"/>
  <c r="G21" i="37" l="1"/>
  <c r="H21" i="37"/>
  <c r="I21" i="37"/>
  <c r="N14" i="37"/>
  <c r="E14" i="37"/>
  <c r="E7" i="37"/>
  <c r="C21" i="37"/>
  <c r="N8" i="37"/>
  <c r="E21" i="37" l="1"/>
  <c r="C12" i="79" s="1"/>
  <c r="C18" i="79" s="1"/>
  <c r="C36" i="79" s="1"/>
  <c r="C38" i="79" s="1"/>
  <c r="N7" i="37"/>
  <c r="N21" i="37" s="1"/>
  <c r="K7" i="37"/>
  <c r="K21" i="37" s="1"/>
  <c r="E21" i="72" l="1"/>
  <c r="C5" i="73" s="1"/>
  <c r="S22" i="35"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39" i="75"/>
  <c r="E39" i="75"/>
  <c r="H38" i="75"/>
  <c r="E38" i="75"/>
  <c r="H37" i="75"/>
  <c r="E37" i="75"/>
  <c r="H36" i="75"/>
  <c r="E36" i="75"/>
  <c r="H35" i="75"/>
  <c r="E35" i="75"/>
  <c r="H34" i="75"/>
  <c r="E34" i="75"/>
  <c r="H33" i="75"/>
  <c r="E33" i="75"/>
  <c r="H31" i="75"/>
  <c r="E31" i="75"/>
  <c r="H30" i="75"/>
  <c r="E30" i="75"/>
  <c r="H29" i="75"/>
  <c r="E29" i="75"/>
  <c r="H28" i="75"/>
  <c r="E28" i="75"/>
  <c r="H27" i="75"/>
  <c r="E27" i="75"/>
  <c r="H26" i="75"/>
  <c r="E26" i="75"/>
  <c r="H25" i="75"/>
  <c r="E25" i="75"/>
  <c r="H24" i="75"/>
  <c r="E24" i="75"/>
  <c r="H23" i="75"/>
  <c r="E23" i="75"/>
  <c r="H22" i="75"/>
  <c r="E22" i="75"/>
  <c r="H21" i="75"/>
  <c r="E21" i="75"/>
  <c r="H20" i="75"/>
  <c r="E20" i="75"/>
  <c r="H18" i="75"/>
  <c r="E18" i="75"/>
  <c r="H17" i="75"/>
  <c r="H16" i="75" s="1"/>
  <c r="E17" i="75"/>
  <c r="H15" i="75"/>
  <c r="E15" i="75"/>
  <c r="H14" i="75"/>
  <c r="E14" i="75"/>
  <c r="H13" i="75"/>
  <c r="E13" i="75"/>
  <c r="H12" i="75"/>
  <c r="E12" i="75"/>
  <c r="H11" i="75"/>
  <c r="E11" i="75"/>
  <c r="H10" i="75"/>
  <c r="E10" i="75"/>
  <c r="H9" i="75"/>
  <c r="E9" i="75"/>
  <c r="H8" i="75"/>
  <c r="E8" i="75"/>
  <c r="E32" i="75" l="1"/>
  <c r="E16" i="75"/>
  <c r="E19" i="75"/>
  <c r="H32" i="75"/>
  <c r="H7" i="75"/>
  <c r="H19" i="75"/>
  <c r="E7" i="75"/>
  <c r="H40" i="75"/>
  <c r="E40" i="75"/>
  <c r="G61" i="53"/>
  <c r="G53" i="53"/>
  <c r="F53" i="53"/>
  <c r="G34" i="53"/>
  <c r="G45" i="53" s="1"/>
  <c r="F34" i="53"/>
  <c r="F45" i="53" s="1"/>
  <c r="D34" i="53"/>
  <c r="D45" i="53" s="1"/>
  <c r="D54" i="53" s="1"/>
  <c r="C34" i="53"/>
  <c r="C45" i="53" s="1"/>
  <c r="C54" i="53" s="1"/>
  <c r="F54" i="53" l="1"/>
  <c r="G54" i="53"/>
  <c r="G30" i="53"/>
  <c r="F30" i="53"/>
  <c r="D30" i="53"/>
  <c r="C30" i="53"/>
  <c r="G9" i="53"/>
  <c r="G22" i="53" s="1"/>
  <c r="F9" i="53"/>
  <c r="F22" i="53" s="1"/>
  <c r="D9" i="53"/>
  <c r="D22" i="53" s="1"/>
  <c r="C9" i="53"/>
  <c r="C22" i="53" s="1"/>
  <c r="D31" i="62"/>
  <c r="D41" i="62" s="1"/>
  <c r="C31" i="62"/>
  <c r="C41" i="62" s="1"/>
  <c r="D31" i="53" l="1"/>
  <c r="G31" i="53"/>
  <c r="G56" i="53" s="1"/>
  <c r="G63" i="53" s="1"/>
  <c r="G65" i="53" s="1"/>
  <c r="G67" i="53" s="1"/>
  <c r="C31" i="53"/>
  <c r="E22" i="53"/>
  <c r="F31" i="53"/>
  <c r="F56" i="53" s="1"/>
  <c r="F63" i="53" s="1"/>
  <c r="F65" i="53" s="1"/>
  <c r="F67" i="53" s="1"/>
  <c r="H22" i="53"/>
  <c r="G31" i="62"/>
  <c r="G41" i="62" s="1"/>
  <c r="F31" i="62"/>
  <c r="F20" i="62"/>
  <c r="G20" i="62"/>
  <c r="C56" i="53" l="1"/>
  <c r="C65" i="53" s="1"/>
  <c r="C67" i="53" s="1"/>
  <c r="D56" i="53"/>
  <c r="D65" i="53" s="1"/>
  <c r="D67" i="53" s="1"/>
  <c r="E41" i="62"/>
  <c r="E31" i="62"/>
  <c r="D22" i="74"/>
  <c r="E22" i="74"/>
  <c r="H22" i="74" s="1"/>
  <c r="C8" i="73" l="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8" i="62"/>
  <c r="E9" i="62"/>
  <c r="E10" i="62"/>
  <c r="E11" i="62"/>
  <c r="E12" i="62"/>
  <c r="E13" i="62"/>
  <c r="E14" i="62"/>
  <c r="E15" i="62"/>
  <c r="E16" i="62"/>
  <c r="E17" i="62"/>
  <c r="E18" i="62"/>
  <c r="E19" i="62"/>
  <c r="E20" i="62"/>
  <c r="E7" i="62"/>
  <c r="C37" i="69" l="1"/>
  <c r="C25" i="69"/>
</calcChain>
</file>

<file path=xl/sharedStrings.xml><?xml version="1.0" encoding="utf-8"?>
<sst xmlns="http://schemas.openxmlformats.org/spreadsheetml/2006/main" count="1176" uniqueCount="785">
  <si>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</si>
  <si>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</si>
  <si>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</si>
  <si>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</si>
  <si>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</si>
  <si>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</si>
  <si>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</si>
  <si>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</si>
  <si>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</si>
  <si>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</si>
  <si>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</si>
  <si>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</si>
  <si>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</si>
  <si>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</si>
  <si>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</si>
  <si>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</si>
  <si>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</si>
  <si>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</si>
  <si>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</si>
  <si>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</si>
  <si>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</si>
  <si>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</si>
  <si>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</si>
  <si>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</si>
  <si>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</si>
  <si>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</si>
  <si>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</si>
  <si>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</si>
  <si>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</si>
  <si>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</si>
  <si>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</si>
  <si>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</si>
  <si>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</si>
  <si>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</si>
  <si>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</si>
  <si>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</si>
  <si>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</si>
  <si>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</si>
  <si>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</si>
  <si>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</si>
  <si>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</si>
  <si>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</si>
  <si>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</si>
  <si>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</si>
  <si>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</si>
  <si>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</si>
  <si>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</si>
  <si>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</si>
  <si>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</si>
  <si>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</si>
  <si>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</si>
  <si>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</si>
  <si>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</si>
  <si>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</si>
  <si>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</si>
  <si>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</si>
  <si>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</si>
  <si>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</si>
  <si>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</si>
  <si>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</si>
  <si>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</si>
  <si>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</si>
  <si>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</si>
  <si>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</si>
  <si>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</si>
  <si>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</si>
  <si>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</si>
  <si>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</si>
  <si>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</si>
  <si>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</si>
  <si>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</si>
  <si>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</si>
  <si>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</si>
  <si>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</si>
  <si>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</si>
  <si>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</si>
  <si>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</si>
  <si>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</si>
  <si>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</si>
  <si>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</si>
  <si>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</si>
  <si>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</si>
  <si>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</si>
  <si>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</si>
  <si>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</si>
  <si>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</si>
  <si>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</si>
  <si>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</si>
  <si>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</si>
  <si>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</si>
  <si>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</si>
  <si>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</si>
  <si>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</si>
  <si>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</si>
  <si>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</si>
  <si>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</si>
  <si>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</si>
  <si>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</si>
  <si>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</si>
  <si>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</si>
  <si>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</si>
  <si>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</si>
  <si>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</si>
  <si>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</si>
  <si>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</si>
  <si>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</si>
  <si>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</si>
  <si>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</si>
  <si>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</si>
  <si>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</si>
  <si>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</si>
  <si>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</si>
  <si>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</si>
  <si>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</si>
  <si>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</si>
  <si>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</si>
  <si>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</si>
  <si>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</si>
  <si>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</si>
  <si>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</si>
  <si>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</si>
  <si>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</si>
  <si>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</si>
  <si>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</si>
  <si>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</si>
  <si>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</si>
  <si>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</si>
  <si>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</si>
  <si>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</si>
  <si>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</si>
  <si>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</si>
  <si>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</si>
  <si>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</si>
  <si>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</si>
  <si>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</si>
  <si>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</si>
  <si>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</si>
  <si>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</si>
  <si>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</si>
  <si>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</si>
  <si>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</si>
  <si>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</si>
  <si>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</si>
  <si>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</si>
  <si>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</si>
  <si>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</si>
  <si>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</si>
  <si>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</si>
  <si>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</si>
  <si>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</si>
  <si>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</si>
  <si>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</si>
  <si>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</si>
  <si>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</si>
  <si>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</si>
  <si>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</si>
  <si>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</si>
  <si>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</si>
  <si>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</si>
  <si>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</si>
  <si>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</si>
  <si>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</si>
  <si>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</si>
  <si>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</si>
  <si>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</si>
  <si>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</si>
  <si>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</si>
  <si>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</si>
  <si>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</si>
  <si>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</si>
  <si>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</si>
  <si>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</si>
  <si>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</si>
  <si>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</si>
  <si>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</si>
  <si>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</si>
  <si>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</si>
  <si>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</si>
  <si>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</si>
  <si>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</si>
  <si>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</si>
  <si>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</si>
  <si>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</si>
  <si>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</si>
  <si>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</si>
  <si>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</si>
  <si>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</si>
  <si>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</si>
  <si>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</si>
  <si>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</si>
  <si>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</si>
  <si>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</si>
  <si>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</si>
  <si>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</si>
  <si>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</si>
  <si>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</si>
  <si>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</si>
  <si>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</si>
  <si>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</si>
  <si>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</si>
  <si>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</si>
  <si>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</si>
  <si>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</si>
  <si>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</si>
  <si>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</si>
  <si>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</si>
  <si>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</si>
  <si>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</si>
  <si>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</si>
  <si>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</si>
  <si>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</si>
  <si>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</si>
  <si>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</si>
  <si>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</si>
  <si>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</si>
  <si>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</si>
  <si>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</si>
  <si>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</si>
  <si>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</si>
  <si>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</si>
  <si>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</si>
  <si>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</si>
  <si>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</si>
  <si>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</si>
  <si>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</si>
  <si>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</si>
  <si>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</si>
  <si>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</si>
  <si>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</si>
  <si>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</si>
  <si>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</si>
  <si>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</si>
  <si>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</si>
  <si>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</si>
  <si>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</si>
  <si>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</si>
  <si>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</si>
  <si>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</si>
  <si>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</si>
  <si>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</si>
  <si>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</si>
  <si>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</si>
  <si>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</si>
  <si>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</si>
  <si>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</si>
  <si>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</si>
  <si>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</si>
  <si>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</si>
  <si>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</si>
  <si>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</si>
  <si>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</si>
  <si>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</si>
  <si>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</si>
  <si>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</si>
  <si>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</si>
  <si>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</si>
  <si>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</si>
  <si>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</si>
  <si>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</si>
  <si>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</si>
  <si>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</si>
  <si>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</si>
  <si>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</si>
  <si>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</si>
  <si>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</si>
  <si>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</si>
  <si>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</si>
  <si>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</si>
  <si>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</si>
  <si>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</si>
  <si>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</si>
  <si>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</si>
  <si>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</si>
  <si>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</si>
  <si>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</si>
  <si>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</si>
  <si>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</si>
  <si>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</si>
  <si>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</si>
  <si>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</si>
  <si>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</si>
  <si>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</si>
  <si>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</si>
  <si>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</si>
  <si>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</si>
  <si>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</si>
  <si>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</si>
  <si>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</si>
  <si>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</si>
  <si>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</si>
  <si>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</si>
  <si>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</si>
  <si>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</si>
  <si>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</si>
  <si>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</si>
  <si>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</si>
  <si>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</si>
  <si>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</si>
  <si>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</si>
  <si>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</si>
  <si>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</si>
  <si>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</si>
  <si>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</si>
  <si>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</si>
  <si>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</si>
  <si>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</si>
  <si>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</si>
  <si>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</si>
  <si>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</si>
  <si>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</si>
  <si>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</si>
  <si>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</si>
  <si>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</si>
  <si>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</si>
  <si>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</si>
  <si>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</si>
  <si>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</si>
  <si>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</si>
  <si>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</si>
  <si>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</si>
  <si>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</si>
  <si>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</si>
  <si>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</si>
  <si>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</si>
  <si>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</si>
  <si>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</si>
  <si>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</si>
  <si>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</si>
  <si>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</si>
  <si>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</si>
  <si>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</si>
  <si>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</si>
  <si>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</si>
  <si>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</si>
  <si>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</si>
  <si>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</si>
  <si>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</si>
  <si>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</si>
  <si>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</si>
  <si>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</si>
  <si>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</si>
  <si>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</si>
  <si>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</si>
  <si>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</si>
  <si>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</si>
  <si>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</si>
  <si>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</si>
  <si>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</si>
  <si>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</si>
  <si>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</si>
  <si>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</si>
  <si>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</si>
  <si>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</si>
  <si>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</si>
  <si>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</si>
  <si>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</si>
  <si>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</si>
  <si>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</si>
  <si>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</si>
  <si>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</si>
  <si>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</si>
  <si>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</si>
  <si>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</si>
  <si>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</si>
  <si>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</si>
  <si>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</si>
  <si>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</si>
  <si>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</si>
  <si>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</si>
  <si>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</si>
  <si>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</si>
  <si>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</si>
  <si>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</si>
  <si>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</si>
  <si>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</si>
  <si>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</si>
  <si>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</si>
  <si>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</si>
  <si>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</si>
  <si>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</si>
  <si>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</si>
  <si>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</si>
  <si>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</si>
  <si>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</si>
  <si>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</si>
  <si>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</si>
  <si>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</si>
  <si>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</si>
  <si>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</si>
  <si>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</si>
  <si>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</si>
  <si>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</si>
  <si>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</si>
  <si>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</si>
  <si>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</si>
  <si>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</si>
  <si>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</si>
  <si>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</si>
  <si>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</si>
  <si>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</si>
  <si>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</si>
  <si>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</si>
  <si>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</si>
  <si>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</si>
  <si>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</si>
  <si>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</si>
  <si>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</si>
  <si>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</si>
  <si>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</si>
  <si>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</si>
  <si>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</si>
  <si>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</si>
  <si>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</si>
  <si>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</si>
  <si>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</si>
  <si>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</si>
  <si>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</si>
  <si>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</si>
  <si>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</si>
  <si>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</si>
  <si>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</si>
  <si>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</si>
  <si>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</si>
  <si>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</si>
  <si>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</si>
  <si>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</si>
  <si>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</si>
  <si>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</si>
  <si>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</si>
  <si>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</si>
  <si>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</si>
  <si>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</si>
  <si>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</si>
  <si>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</si>
  <si>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</si>
  <si>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</si>
  <si>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</si>
  <si>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</si>
  <si>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</si>
  <si>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</si>
  <si>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</si>
  <si>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</si>
  <si>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</si>
  <si>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</si>
  <si>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</si>
  <si>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</si>
  <si>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</si>
  <si>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</si>
  <si>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</si>
  <si>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</si>
  <si>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</si>
  <si>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</si>
  <si>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</si>
  <si>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</si>
  <si>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</si>
  <si>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</si>
  <si>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</si>
  <si>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</si>
  <si>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</si>
  <si>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</si>
  <si>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</si>
  <si>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</si>
  <si>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</si>
  <si>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</si>
  <si>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</si>
  <si>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</si>
  <si>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</si>
  <si>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</si>
  <si>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</si>
  <si>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</si>
  <si>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</si>
  <si>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</si>
  <si>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</si>
  <si>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</si>
  <si>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</si>
  <si>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</si>
  <si>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</si>
  <si>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</si>
  <si>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</si>
  <si>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</si>
  <si>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</si>
  <si>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</si>
  <si>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</si>
  <si>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</si>
  <si>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</si>
  <si>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</si>
  <si>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</si>
  <si>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</si>
  <si>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</si>
  <si>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</si>
  <si>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</si>
  <si>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</si>
  <si>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</si>
  <si>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</si>
  <si>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</si>
  <si>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</si>
  <si>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</si>
  <si>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</si>
  <si>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</si>
  <si>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</si>
  <si>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</si>
  <si>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</si>
  <si>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</si>
  <si>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</si>
  <si>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</si>
  <si>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</si>
  <si>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</si>
  <si>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</si>
  <si>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</si>
  <si>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</si>
  <si>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</si>
  <si>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</si>
  <si>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</si>
  <si>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</si>
  <si>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</si>
  <si>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</si>
  <si>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</si>
  <si>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</si>
  <si>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</si>
  <si>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</si>
  <si>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</si>
  <si>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</si>
  <si>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</si>
  <si>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</si>
  <si>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</si>
  <si>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</si>
  <si>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</si>
  <si>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</si>
  <si>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</si>
  <si>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</si>
  <si>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</si>
  <si>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</si>
  <si>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</si>
  <si>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</si>
  <si>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</si>
  <si>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</si>
  <si>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</si>
  <si>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</si>
  <si>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</si>
  <si>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</si>
  <si>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</si>
  <si>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</si>
  <si>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</si>
  <si>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</si>
  <si>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</si>
  <si>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</si>
  <si>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</si>
  <si>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</si>
  <si>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</si>
  <si>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</si>
  <si>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</si>
  <si>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</si>
  <si>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</si>
  <si>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</si>
  <si>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</si>
  <si>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</si>
  <si>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</si>
  <si>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</si>
  <si>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</si>
  <si>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</si>
  <si>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</si>
  <si>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</si>
  <si>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</si>
  <si>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</si>
  <si>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</si>
  <si>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</si>
  <si>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</si>
  <si>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</si>
  <si>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</si>
  <si>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</si>
  <si>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</si>
  <si>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</si>
  <si>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</si>
  <si>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</si>
  <si>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</si>
  <si>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</si>
  <si>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</si>
  <si>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</si>
  <si>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</si>
  <si>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</si>
  <si>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</si>
  <si>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</si>
  <si>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</si>
  <si>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</si>
  <si>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</si>
  <si>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</si>
  <si>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</si>
  <si>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</si>
  <si>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</si>
  <si>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</si>
  <si>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</si>
  <si>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</si>
  <si>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</si>
  <si>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</si>
  <si>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</si>
  <si>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</si>
  <si>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</si>
  <si>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</si>
  <si>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</si>
  <si>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</si>
  <si>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</si>
  <si>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</si>
  <si>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</si>
  <si>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</si>
  <si>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</si>
  <si>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</si>
  <si>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</si>
  <si>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</si>
  <si>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</si>
  <si>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</si>
  <si>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</si>
  <si>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</si>
  <si>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</si>
  <si>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</si>
  <si>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</si>
  <si>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</si>
  <si>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</si>
  <si>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</si>
  <si>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</si>
  <si>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</si>
  <si>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</si>
  <si>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</si>
  <si>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</si>
  <si>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</si>
  <si>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</si>
  <si>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</si>
  <si>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</si>
  <si>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</si>
  <si>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</si>
  <si>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</si>
  <si>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</si>
  <si>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</si>
  <si>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</si>
  <si>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</si>
  <si>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</si>
  <si>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</si>
  <si>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</si>
  <si>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</si>
  <si>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</si>
  <si>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</si>
  <si>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</si>
  <si>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</si>
  <si>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</si>
  <si>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</si>
  <si>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</si>
  <si>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</si>
  <si>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</si>
  <si>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</si>
  <si>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</si>
  <si>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</si>
  <si>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</si>
  <si>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</si>
  <si>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</si>
  <si>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</si>
  <si>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</si>
  <si>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</si>
  <si>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</si>
  <si>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</si>
  <si>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</si>
  <si>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</si>
  <si>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</si>
  <si>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</si>
  <si>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</si>
  <si>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</si>
  <si>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</si>
  <si>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</si>
  <si>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</si>
  <si>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</si>
  <si>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</si>
  <si>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</si>
  <si>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</si>
  <si>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</si>
  <si>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</si>
  <si>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</si>
  <si>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</si>
  <si>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</si>
  <si>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</si>
  <si>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</si>
  <si>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</si>
  <si>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</si>
  <si>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</si>
  <si>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</si>
  <si>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</si>
  <si>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</si>
  <si>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</si>
  <si>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</si>
  <si>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</si>
  <si>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</si>
  <si>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</si>
  <si>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</si>
  <si>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</si>
  <si>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</si>
  <si>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</si>
  <si>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</si>
  <si>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</si>
  <si>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</si>
  <si>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</si>
  <si>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</si>
  <si>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</si>
  <si>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</si>
  <si>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</si>
  <si>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</si>
  <si>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</si>
  <si>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</si>
  <si>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</si>
  <si>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</si>
  <si>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</si>
  <si>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</si>
  <si>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</si>
  <si>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</si>
  <si>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</si>
  <si>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</si>
  <si>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</si>
  <si>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</si>
  <si>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</si>
  <si>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</si>
  <si>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</si>
  <si>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</si>
  <si>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</si>
  <si>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</si>
  <si>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</si>
  <si>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</si>
  <si>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</si>
  <si>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</si>
  <si>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</si>
  <si>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</si>
  <si>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</si>
  <si>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</si>
  <si>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</si>
  <si>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</si>
  <si>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</si>
  <si>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ზოგადი ინფორმაცია საცალო პროდუქტებზე</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</si>
  <si>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</si>
  <si>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</si>
  <si>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</si>
  <si>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</si>
  <si>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</si>
  <si>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</si>
  <si>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</si>
  <si>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სს "კრედო ბანკი"</t>
  </si>
  <si>
    <t>ტომას ენგელჰარდტი</t>
  </si>
  <si>
    <t>ზაალ ფირცხელავა</t>
  </si>
  <si>
    <t>www.credo.ge</t>
  </si>
  <si>
    <t>ცხრილი 9 (Capital), C46</t>
  </si>
  <si>
    <t>ცხრილი 9 (Capital), C15</t>
  </si>
  <si>
    <t>ცხრილი 9 (Capital), C44</t>
  </si>
  <si>
    <t>ცხრილი 9 (Capital), C7</t>
  </si>
  <si>
    <t>ცხრილი 9 (Capital), C11</t>
  </si>
  <si>
    <t>ცხრილი 9 (Capital), C9</t>
  </si>
  <si>
    <t>Thomas Engelhardt (Germany)</t>
  </si>
  <si>
    <t>Access Microfinance Holding AG</t>
  </si>
  <si>
    <t>Triodos Fund</t>
  </si>
  <si>
    <t>Paul-Catalin Panciu (Romania)</t>
  </si>
  <si>
    <t>დამოუკიდებელი წევრი</t>
  </si>
  <si>
    <t>Johannes Mainhardt (Germany)</t>
  </si>
  <si>
    <t>Andrew Pospielovsky (Great Britain)</t>
  </si>
  <si>
    <t>გენერალური დირექტორი</t>
  </si>
  <si>
    <t>ერეკლე ზათიაშვილი</t>
  </si>
  <si>
    <t>ფინანსური დირექტორი</t>
  </si>
  <si>
    <t>ზაზა ტყეშელაშვილი</t>
  </si>
  <si>
    <t>საკრედიტო ოპერაციების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</si>
  <si>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</si>
  <si>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</si>
  <si>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</si>
  <si>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</si>
  <si>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</si>
  <si>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</si>
  <si>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</si>
  <si>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</si>
  <si>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responsAbility Global Microfinance Fund (Luxembourg) - 8.79%</t>
  </si>
  <si>
    <t>responsAbility SICAV (Lux) -  responsAbility SICAV (Lux) Microfinance Leaders Fund  - 1.87%</t>
  </si>
  <si>
    <t>Societe de Promotion et de Participation pour la Cooperation Economique (Proparco)</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</si>
  <si>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</si>
  <si>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</si>
  <si>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</si>
  <si>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</si>
  <si>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</si>
  <si>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Agence Francaise de developpement</t>
  </si>
  <si>
    <t>Farah, Katia Chams (Netherlands)</t>
  </si>
  <si>
    <t>გიორგი ნადარეიშვილი</t>
  </si>
  <si>
    <t>რისკების დირექტორი</t>
  </si>
  <si>
    <t>ცხრილი 9 (Capital), C8</t>
  </si>
  <si>
    <t>Olga Tomash (Ukraine)</t>
  </si>
  <si>
    <t>British International Investment PLC (UK)</t>
  </si>
  <si>
    <t>Omidyar Tufts Active Citizenship Trust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</si>
</sst>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2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92D050"/>
        <bgColor indexed="64"/>
      </patternFill>
    </fill>
  </fills>
  <borders count="12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9"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88" fontId="2" fillId="70" borderId="87" applyFont="0">
      <alignment horizontal="right" vertical="center"/>
    </xf>
    <xf numFmtId="3" fontId="2" fillId="70" borderId="87" applyFont="0">
      <alignment horizontal="right" vertical="center"/>
    </xf>
    <xf numFmtId="0" fontId="85"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9"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3" fontId="2" fillId="75" borderId="87" applyFont="0">
      <alignment horizontal="right" vertical="center"/>
      <protection locked="0"/>
    </xf>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3" fontId="2" fillId="72" borderId="87" applyFont="0">
      <alignment horizontal="right" vertical="center"/>
      <protection locked="0"/>
    </xf>
    <xf numFmtId="0" fontId="68"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9"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4" fillId="70" borderId="88" applyFont="0" applyBorder="0">
      <alignment horizontal="center" wrapText="1"/>
    </xf>
    <xf numFmtId="168" fontId="56" fillId="0" borderId="85">
      <alignment horizontal="left" vertical="center"/>
    </xf>
    <xf numFmtId="0" fontId="56" fillId="0" borderId="85">
      <alignment horizontal="left" vertical="center"/>
    </xf>
    <xf numFmtId="0" fontId="56" fillId="0" borderId="85">
      <alignment horizontal="left" vertical="center"/>
    </xf>
    <xf numFmtId="0" fontId="2" fillId="69" borderId="87" applyNumberFormat="0" applyFont="0" applyBorder="0" applyProtection="0">
      <alignment horizontal="center" vertical="center"/>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40"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9"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755">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Border="1" applyAlignment="1">
      <alignment horizontal="right"/>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Border="1" applyAlignment="1" applyProtection="1">
      <alignment horizontal="right"/>
      <protection locked="0"/>
    </xf>
    <xf numFmtId="193" fontId="9" fillId="0" borderId="3" xfId="0" applyNumberFormat="1" applyFont="1" applyBorder="1" applyAlignment="1" applyProtection="1">
      <alignment horizontal="right"/>
      <protection locked="0"/>
    </xf>
    <xf numFmtId="193" fontId="9" fillId="0" borderId="23" xfId="0" applyNumberFormat="1" applyFont="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0" borderId="3" xfId="0" applyNumberFormat="1" applyFont="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Border="1" applyAlignment="1">
      <alignment horizontal="center"/>
    </xf>
    <xf numFmtId="193" fontId="21" fillId="0" borderId="23" xfId="0" applyNumberFormat="1" applyFont="1" applyBorder="1" applyAlignment="1">
      <alignment horizontal="center"/>
    </xf>
    <xf numFmtId="193" fontId="20" fillId="0" borderId="23" xfId="0" applyNumberFormat="1" applyFont="1" applyBorder="1" applyAlignment="1" applyProtection="1">
      <alignment horizontal="right"/>
      <protection locked="0"/>
    </xf>
    <xf numFmtId="193" fontId="20" fillId="0" borderId="3" xfId="0" applyNumberFormat="1" applyFont="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Border="1" applyProtection="1">
      <protection locked="0"/>
    </xf>
    <xf numFmtId="193" fontId="9" fillId="36" borderId="23" xfId="7" applyNumberFormat="1" applyFont="1" applyFill="1" applyBorder="1" applyAlignment="1" applyProtection="1"/>
    <xf numFmtId="193" fontId="20" fillId="0" borderId="3" xfId="0" applyNumberFormat="1" applyFont="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xf numFmtId="193" fontId="4" fillId="36" borderId="26" xfId="0" applyNumberFormat="1" applyFont="1" applyFill="1" applyBorder="1"/>
    <xf numFmtId="193" fontId="4" fillId="0" borderId="22" xfId="0" applyNumberFormat="1" applyFont="1" applyBorder="1"/>
    <xf numFmtId="193" fontId="4" fillId="0" borderId="23" xfId="0" applyNumberFormat="1" applyFont="1" applyBorder="1"/>
    <xf numFmtId="193" fontId="4" fillId="36" borderId="57"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xf numFmtId="193" fontId="4" fillId="0" borderId="24"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3" xfId="20961" applyFont="1" applyBorder="1"/>
    <xf numFmtId="167" fontId="4" fillId="0" borderId="23" xfId="0" applyNumberFormat="1" applyFont="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0" xfId="20"/>
    <xf numFmtId="169" fontId="28" fillId="37" borderId="80" xfId="20" applyBorder="1"/>
    <xf numFmtId="0" fontId="4" fillId="0" borderId="7" xfId="0" applyFont="1" applyBorder="1" applyAlignment="1">
      <alignment vertical="center"/>
    </xf>
    <xf numFmtId="0" fontId="4" fillId="0" borderId="87" xfId="0" applyFont="1" applyBorder="1" applyAlignment="1">
      <alignment vertical="center"/>
    </xf>
    <xf numFmtId="0" fontId="4" fillId="0" borderId="88" xfId="0" applyFont="1" applyBorder="1" applyAlignment="1">
      <alignment vertical="center"/>
    </xf>
    <xf numFmtId="0" fontId="6" fillId="0" borderId="87" xfId="0" applyFont="1" applyBorder="1" applyAlignment="1">
      <alignment vertical="center"/>
    </xf>
    <xf numFmtId="0" fontId="4" fillId="0" borderId="20" xfId="0" applyFont="1" applyBorder="1" applyAlignment="1">
      <alignment vertical="center"/>
    </xf>
    <xf numFmtId="0" fontId="4" fillId="0" borderId="82" xfId="0" applyFont="1" applyBorder="1" applyAlignment="1">
      <alignment vertical="center"/>
    </xf>
    <xf numFmtId="0" fontId="4" fillId="0" borderId="84" xfId="0" applyFont="1" applyBorder="1" applyAlignment="1">
      <alignment vertical="center"/>
    </xf>
    <xf numFmtId="0" fontId="4" fillId="0" borderId="19"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169" fontId="28" fillId="37" borderId="34" xfId="20" applyBorder="1"/>
    <xf numFmtId="169" fontId="28" fillId="37" borderId="97" xfId="20" applyBorder="1"/>
    <xf numFmtId="169" fontId="28" fillId="37" borderId="8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Alignment="1">
      <alignment vertical="center"/>
    </xf>
    <xf numFmtId="0" fontId="4" fillId="3" borderId="85" xfId="0" applyFont="1" applyFill="1" applyBorder="1" applyAlignment="1">
      <alignment vertical="center"/>
    </xf>
    <xf numFmtId="0" fontId="14" fillId="3" borderId="98" xfId="0" applyFont="1" applyFill="1" applyBorder="1" applyAlignment="1">
      <alignment horizontal="left"/>
    </xf>
    <xf numFmtId="0" fontId="14" fillId="3" borderId="99" xfId="0" applyFont="1" applyFill="1" applyBorder="1" applyAlignment="1">
      <alignment horizontal="left"/>
    </xf>
    <xf numFmtId="0" fontId="4" fillId="0" borderId="87" xfId="0" applyFont="1" applyBorder="1" applyAlignment="1">
      <alignment horizontal="center" vertical="center" wrapText="1"/>
    </xf>
    <xf numFmtId="0" fontId="4" fillId="0" borderId="100" xfId="0" applyFont="1" applyBorder="1" applyAlignment="1">
      <alignment horizontal="center" vertical="center" wrapText="1"/>
    </xf>
    <xf numFmtId="0" fontId="6" fillId="3" borderId="101" xfId="0" applyFont="1" applyFill="1" applyBorder="1" applyAlignment="1">
      <alignment vertical="center"/>
    </xf>
    <xf numFmtId="0" fontId="4" fillId="3" borderId="24" xfId="0" applyFont="1" applyFill="1" applyBorder="1" applyAlignment="1">
      <alignment vertical="center"/>
    </xf>
    <xf numFmtId="0" fontId="4" fillId="0" borderId="102" xfId="0" applyFont="1" applyBorder="1" applyAlignment="1">
      <alignment horizontal="center" vertical="center"/>
    </xf>
    <xf numFmtId="0" fontId="4" fillId="0" borderId="100" xfId="0" applyFont="1" applyBorder="1" applyAlignment="1">
      <alignment vertical="center"/>
    </xf>
    <xf numFmtId="0" fontId="6" fillId="0" borderId="26"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2"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02" xfId="0" applyBorder="1"/>
    <xf numFmtId="0" fontId="0" fillId="0" borderId="102" xfId="0" applyBorder="1" applyAlignment="1">
      <alignment horizontal="center"/>
    </xf>
    <xf numFmtId="0" fontId="4" fillId="0" borderId="86" xfId="0" applyFont="1" applyBorder="1" applyAlignment="1">
      <alignment vertical="center" wrapText="1"/>
    </xf>
    <xf numFmtId="167" fontId="4" fillId="0" borderId="87" xfId="0" applyNumberFormat="1" applyFont="1" applyBorder="1" applyAlignment="1">
      <alignment horizontal="center" vertical="center"/>
    </xf>
    <xf numFmtId="167" fontId="4" fillId="0" borderId="100" xfId="0" applyNumberFormat="1" applyFont="1" applyBorder="1" applyAlignment="1">
      <alignment horizontal="center" vertical="center"/>
    </xf>
    <xf numFmtId="167" fontId="14" fillId="0" borderId="87" xfId="0" applyNumberFormat="1" applyFont="1" applyBorder="1" applyAlignment="1">
      <alignment horizontal="center" vertical="center"/>
    </xf>
    <xf numFmtId="0" fontId="14" fillId="0" borderId="86" xfId="0" applyFont="1" applyBorder="1" applyAlignment="1">
      <alignment vertical="center" wrapText="1"/>
    </xf>
    <xf numFmtId="0" fontId="0" fillId="0" borderId="25" xfId="0" applyBorder="1"/>
    <xf numFmtId="0" fontId="6" fillId="36" borderId="103"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2"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0" xfId="0" applyFont="1" applyFill="1" applyBorder="1" applyAlignment="1">
      <alignment horizontal="left" vertical="center" wrapText="1"/>
    </xf>
    <xf numFmtId="0" fontId="4" fillId="0" borderId="102" xfId="0" applyFont="1" applyBorder="1" applyAlignment="1">
      <alignment horizontal="right" vertical="center" wrapText="1"/>
    </xf>
    <xf numFmtId="0" fontId="4" fillId="0" borderId="87" xfId="0" applyFont="1" applyBorder="1" applyAlignment="1">
      <alignment horizontal="left" vertical="center" wrapText="1"/>
    </xf>
    <xf numFmtId="0" fontId="108" fillId="0" borderId="102" xfId="0" applyFont="1" applyBorder="1" applyAlignment="1">
      <alignment horizontal="right" vertical="center" wrapText="1"/>
    </xf>
    <xf numFmtId="0" fontId="108" fillId="0" borderId="87" xfId="0" applyFont="1" applyBorder="1" applyAlignment="1">
      <alignment horizontal="left" vertical="center" wrapText="1"/>
    </xf>
    <xf numFmtId="0" fontId="6" fillId="0" borderId="102"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25" xfId="5" applyNumberFormat="1" applyFont="1" applyBorder="1" applyAlignment="1" applyProtection="1">
      <alignment horizontal="left" vertical="center"/>
      <protection locked="0"/>
    </xf>
    <xf numFmtId="0" fontId="110" fillId="0" borderId="26" xfId="9" applyFont="1" applyBorder="1" applyAlignment="1" applyProtection="1">
      <alignment horizontal="left" vertical="center" wrapText="1"/>
      <protection locked="0"/>
    </xf>
    <xf numFmtId="0" fontId="22" fillId="0" borderId="102" xfId="0" applyFont="1" applyBorder="1" applyAlignment="1">
      <alignment horizontal="center" vertical="center" wrapText="1"/>
    </xf>
    <xf numFmtId="3" fontId="23" fillId="36" borderId="87" xfId="0" applyNumberFormat="1" applyFont="1" applyFill="1" applyBorder="1" applyAlignment="1">
      <alignment vertical="center" wrapText="1"/>
    </xf>
    <xf numFmtId="3" fontId="23" fillId="36" borderId="100"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3" fillId="0" borderId="87"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0" fontId="11" fillId="0" borderId="87" xfId="17" applyFill="1" applyBorder="1" applyAlignment="1" applyProtection="1"/>
    <xf numFmtId="49" fontId="108" fillId="0" borderId="102" xfId="0" applyNumberFormat="1" applyFont="1" applyBorder="1" applyAlignment="1">
      <alignment horizontal="right" vertical="center" wrapText="1"/>
    </xf>
    <xf numFmtId="0" fontId="7" fillId="3" borderId="87" xfId="20960" applyFont="1" applyFill="1" applyBorder="1"/>
    <xf numFmtId="0" fontId="105" fillId="0" borderId="87" xfId="20960" applyFont="1" applyBorder="1" applyAlignment="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8" fillId="0" borderId="87" xfId="0" applyNumberFormat="1" applyFont="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111" fillId="77" borderId="88" xfId="21412" applyFont="1" applyFill="1" applyBorder="1" applyAlignment="1" applyProtection="1">
      <alignment vertical="center" wrapText="1"/>
      <protection locked="0"/>
    </xf>
    <xf numFmtId="0" fontId="112" fillId="70" borderId="82" xfId="21412" applyFont="1" applyFill="1" applyBorder="1" applyAlignment="1" applyProtection="1">
      <alignment horizontal="center" vertical="center"/>
      <protection locked="0"/>
    </xf>
    <xf numFmtId="0" fontId="111" fillId="78" borderId="87" xfId="21412" applyFont="1" applyFill="1" applyBorder="1" applyAlignment="1" applyProtection="1">
      <alignment horizontal="center" vertical="center"/>
      <protection locked="0"/>
    </xf>
    <xf numFmtId="0" fontId="111" fillId="77" borderId="88" xfId="21412" applyFont="1" applyFill="1" applyBorder="1" applyProtection="1">
      <alignment vertical="center"/>
      <protection locked="0"/>
    </xf>
    <xf numFmtId="0" fontId="113" fillId="70" borderId="82" xfId="21412" applyFont="1" applyFill="1" applyBorder="1" applyAlignment="1" applyProtection="1">
      <alignment horizontal="center" vertical="center"/>
      <protection locked="0"/>
    </xf>
    <xf numFmtId="0" fontId="113" fillId="3" borderId="82" xfId="21412" applyFont="1" applyFill="1" applyBorder="1" applyAlignment="1" applyProtection="1">
      <alignment horizontal="center" vertical="center"/>
      <protection locked="0"/>
    </xf>
    <xf numFmtId="0" fontId="113" fillId="0" borderId="82" xfId="21412" applyFont="1" applyBorder="1" applyAlignment="1" applyProtection="1">
      <alignment horizontal="center" vertical="center"/>
      <protection locked="0"/>
    </xf>
    <xf numFmtId="0" fontId="114"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horizontal="center" vertical="center"/>
      <protection locked="0"/>
    </xf>
    <xf numFmtId="0" fontId="64" fillId="77" borderId="88" xfId="21412" applyFont="1" applyFill="1" applyBorder="1" applyProtection="1">
      <alignment vertical="center"/>
      <protection locked="0"/>
    </xf>
    <xf numFmtId="0" fontId="113" fillId="70" borderId="87" xfId="21412" applyFont="1" applyFill="1" applyBorder="1" applyAlignment="1" applyProtection="1">
      <alignment horizontal="center" vertical="center"/>
      <protection locked="0"/>
    </xf>
    <xf numFmtId="0" fontId="38" fillId="70" borderId="87" xfId="21412" applyFont="1" applyFill="1" applyBorder="1" applyAlignment="1" applyProtection="1">
      <alignment horizontal="center" vertical="center"/>
      <protection locked="0"/>
    </xf>
    <xf numFmtId="0" fontId="64" fillId="77" borderId="86" xfId="21412" applyFont="1" applyFill="1" applyBorder="1" applyProtection="1">
      <alignment vertical="center"/>
      <protection locked="0"/>
    </xf>
    <xf numFmtId="0" fontId="112" fillId="0" borderId="86" xfId="21412" applyFont="1" applyBorder="1" applyAlignment="1" applyProtection="1">
      <alignment horizontal="left" vertical="center" wrapText="1"/>
      <protection locked="0"/>
    </xf>
    <xf numFmtId="164" fontId="112" fillId="0" borderId="87" xfId="948" applyNumberFormat="1" applyFont="1" applyFill="1" applyBorder="1" applyAlignment="1" applyProtection="1">
      <alignment horizontal="right" vertical="center"/>
      <protection locked="0"/>
    </xf>
    <xf numFmtId="0" fontId="111" fillId="78" borderId="86" xfId="21412" applyFont="1" applyFill="1" applyBorder="1" applyAlignment="1" applyProtection="1">
      <alignment vertical="top" wrapText="1"/>
      <protection locked="0"/>
    </xf>
    <xf numFmtId="164" fontId="112" fillId="78" borderId="87" xfId="948" applyNumberFormat="1" applyFont="1" applyFill="1" applyBorder="1" applyAlignment="1" applyProtection="1">
      <alignment horizontal="right" vertical="center"/>
    </xf>
    <xf numFmtId="164" fontId="64" fillId="77" borderId="86" xfId="948" applyNumberFormat="1" applyFont="1" applyFill="1" applyBorder="1" applyAlignment="1" applyProtection="1">
      <alignment horizontal="right" vertical="center"/>
      <protection locked="0"/>
    </xf>
    <xf numFmtId="0" fontId="112" fillId="70" borderId="86" xfId="21412" applyFont="1" applyFill="1" applyBorder="1" applyAlignment="1" applyProtection="1">
      <alignment vertical="center" wrapText="1"/>
      <protection locked="0"/>
    </xf>
    <xf numFmtId="0" fontId="112" fillId="70" borderId="86" xfId="21412" applyFont="1" applyFill="1" applyBorder="1" applyAlignment="1" applyProtection="1">
      <alignment horizontal="left" vertical="center" wrapText="1"/>
      <protection locked="0"/>
    </xf>
    <xf numFmtId="0" fontId="112" fillId="0" borderId="86" xfId="21412" applyFont="1" applyBorder="1" applyAlignment="1" applyProtection="1">
      <alignment vertical="center" wrapText="1"/>
      <protection locked="0"/>
    </xf>
    <xf numFmtId="0" fontId="112" fillId="3" borderId="86" xfId="21412" applyFont="1" applyFill="1" applyBorder="1" applyAlignment="1" applyProtection="1">
      <alignment horizontal="left" vertical="center" wrapText="1"/>
      <protection locked="0"/>
    </xf>
    <xf numFmtId="0" fontId="111" fillId="78" borderId="86" xfId="21412" applyFont="1" applyFill="1" applyBorder="1" applyAlignment="1" applyProtection="1">
      <alignment vertical="center" wrapText="1"/>
      <protection locked="0"/>
    </xf>
    <xf numFmtId="164" fontId="111" fillId="77" borderId="86" xfId="948" applyNumberFormat="1" applyFont="1" applyFill="1" applyBorder="1" applyAlignment="1" applyProtection="1">
      <alignment horizontal="right" vertical="center"/>
      <protection locked="0"/>
    </xf>
    <xf numFmtId="164" fontId="112" fillId="3" borderId="87" xfId="948" applyNumberFormat="1" applyFont="1" applyFill="1" applyBorder="1" applyAlignment="1" applyProtection="1">
      <alignment horizontal="right" vertical="center"/>
      <protection locked="0"/>
    </xf>
    <xf numFmtId="1" fontId="6" fillId="36" borderId="100" xfId="0" applyNumberFormat="1" applyFont="1" applyFill="1" applyBorder="1" applyAlignment="1">
      <alignment horizontal="right" vertical="center" wrapText="1"/>
    </xf>
    <xf numFmtId="1" fontId="6" fillId="36" borderId="100" xfId="0" applyNumberFormat="1" applyFont="1" applyFill="1" applyBorder="1" applyAlignment="1">
      <alignment horizontal="center" vertical="center" wrapText="1"/>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8"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2" xfId="0" applyFont="1" applyBorder="1" applyAlignment="1">
      <alignment horizontal="right" vertical="center" wrapText="1"/>
    </xf>
    <xf numFmtId="0" fontId="7" fillId="0" borderId="87" xfId="0" applyFont="1" applyBorder="1" applyAlignment="1">
      <alignment vertical="center" wrapText="1"/>
    </xf>
    <xf numFmtId="0" fontId="4" fillId="0" borderId="87" xfId="0" applyFont="1" applyBorder="1" applyAlignment="1">
      <alignment vertical="center" wrapText="1"/>
    </xf>
    <xf numFmtId="0" fontId="4" fillId="0" borderId="87" xfId="0" applyFont="1" applyBorder="1" applyAlignment="1">
      <alignment horizontal="left" vertical="center" wrapText="1" indent="2"/>
    </xf>
    <xf numFmtId="3" fontId="23" fillId="36" borderId="8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8"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0" xfId="0" applyFont="1" applyBorder="1"/>
    <xf numFmtId="0" fontId="9" fillId="0" borderId="100" xfId="0" applyFont="1" applyBorder="1"/>
    <xf numFmtId="0" fontId="10" fillId="0" borderId="21" xfId="0" applyFont="1" applyBorder="1" applyAlignment="1">
      <alignment horizontal="center"/>
    </xf>
    <xf numFmtId="0" fontId="10" fillId="0" borderId="100"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9" fillId="0" borderId="102" xfId="0" applyFont="1" applyBorder="1" applyAlignment="1">
      <alignment horizontal="center" vertical="center" wrapText="1"/>
    </xf>
    <xf numFmtId="0" fontId="15" fillId="0" borderId="87" xfId="0" applyFont="1" applyBorder="1" applyAlignment="1">
      <alignment horizontal="center" vertical="center" wrapText="1"/>
    </xf>
    <xf numFmtId="0" fontId="16" fillId="0" borderId="87" xfId="0" applyFont="1" applyBorder="1" applyAlignment="1">
      <alignment horizontal="left" vertical="center" wrapText="1"/>
    </xf>
    <xf numFmtId="193" fontId="7" fillId="0" borderId="87" xfId="0" applyNumberFormat="1" applyFont="1" applyBorder="1" applyAlignment="1" applyProtection="1">
      <alignment vertical="center" wrapText="1"/>
      <protection locked="0"/>
    </xf>
    <xf numFmtId="193" fontId="4" fillId="0" borderId="87" xfId="0" applyNumberFormat="1" applyFont="1" applyBorder="1" applyAlignment="1" applyProtection="1">
      <alignment vertical="center" wrapText="1"/>
      <protection locked="0"/>
    </xf>
    <xf numFmtId="193" fontId="4" fillId="0" borderId="100" xfId="0" applyNumberFormat="1" applyFont="1" applyBorder="1" applyAlignment="1" applyProtection="1">
      <alignment vertical="center" wrapText="1"/>
      <protection locked="0"/>
    </xf>
    <xf numFmtId="193" fontId="7" fillId="0" borderId="87" xfId="0" applyNumberFormat="1" applyFont="1" applyBorder="1" applyAlignment="1" applyProtection="1">
      <alignment horizontal="right" vertical="center" wrapText="1"/>
      <protection locked="0"/>
    </xf>
    <xf numFmtId="0" fontId="9" fillId="2" borderId="102" xfId="0" applyFont="1" applyFill="1" applyBorder="1" applyAlignment="1">
      <alignment horizontal="right" vertical="center"/>
    </xf>
    <xf numFmtId="0" fontId="9" fillId="2" borderId="87" xfId="0" applyFont="1" applyFill="1" applyBorder="1" applyAlignment="1">
      <alignment vertical="center"/>
    </xf>
    <xf numFmtId="193" fontId="9" fillId="2" borderId="87" xfId="0" applyNumberFormat="1" applyFont="1" applyFill="1" applyBorder="1" applyAlignment="1" applyProtection="1">
      <alignment vertical="center"/>
      <protection locked="0"/>
    </xf>
    <xf numFmtId="193" fontId="17" fillId="2" borderId="87" xfId="0" applyNumberFormat="1" applyFont="1" applyFill="1" applyBorder="1" applyAlignment="1" applyProtection="1">
      <alignment vertical="center"/>
      <protection locked="0"/>
    </xf>
    <xf numFmtId="0" fontId="15" fillId="0" borderId="102" xfId="0" applyFont="1" applyBorder="1" applyAlignment="1">
      <alignment horizontal="center" vertical="center" wrapText="1"/>
    </xf>
    <xf numFmtId="14" fontId="4" fillId="0" borderId="0" xfId="0" applyNumberFormat="1" applyFont="1"/>
    <xf numFmtId="10" fontId="4" fillId="0" borderId="87" xfId="20961" applyNumberFormat="1" applyFont="1" applyFill="1" applyBorder="1" applyAlignment="1" applyProtection="1">
      <alignment horizontal="right" vertical="center" wrapText="1"/>
      <protection locked="0"/>
    </xf>
    <xf numFmtId="10" fontId="4" fillId="0" borderId="87" xfId="20961" applyNumberFormat="1" applyFont="1" applyBorder="1" applyAlignment="1" applyProtection="1">
      <alignment vertical="center" wrapText="1"/>
      <protection locked="0"/>
    </xf>
    <xf numFmtId="0" fontId="4" fillId="3" borderId="60" xfId="0" applyFont="1" applyFill="1" applyBorder="1"/>
    <xf numFmtId="0" fontId="4" fillId="3" borderId="105" xfId="0" applyFont="1" applyFill="1" applyBorder="1" applyAlignment="1">
      <alignment wrapText="1"/>
    </xf>
    <xf numFmtId="0" fontId="4" fillId="3" borderId="106" xfId="0" applyFont="1" applyFill="1" applyBorder="1"/>
    <xf numFmtId="0" fontId="6" fillId="3" borderId="11" xfId="0" applyFont="1" applyFill="1" applyBorder="1" applyAlignment="1">
      <alignment horizontal="center" wrapText="1"/>
    </xf>
    <xf numFmtId="0" fontId="4" fillId="0" borderId="87" xfId="0" applyFont="1" applyBorder="1" applyAlignment="1">
      <alignment horizontal="center"/>
    </xf>
    <xf numFmtId="0" fontId="4" fillId="3" borderId="71"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0" xfId="0" applyFont="1" applyFill="1" applyBorder="1" applyAlignment="1">
      <alignment horizontal="center" vertical="center" wrapText="1"/>
    </xf>
    <xf numFmtId="0" fontId="4" fillId="0" borderId="102" xfId="0" applyFont="1" applyBorder="1"/>
    <xf numFmtId="0" fontId="4" fillId="0" borderId="87" xfId="0" applyFont="1" applyBorder="1" applyAlignment="1">
      <alignment wrapText="1"/>
    </xf>
    <xf numFmtId="164" fontId="4" fillId="0" borderId="87" xfId="7" applyNumberFormat="1" applyFont="1" applyBorder="1"/>
    <xf numFmtId="164" fontId="4" fillId="0" borderId="100" xfId="7" applyNumberFormat="1" applyFont="1" applyBorder="1"/>
    <xf numFmtId="0" fontId="14" fillId="0" borderId="87" xfId="0" applyFont="1" applyBorder="1" applyAlignment="1">
      <alignment horizontal="left" wrapText="1" indent="2"/>
    </xf>
    <xf numFmtId="169" fontId="28" fillId="37" borderId="87" xfId="20" applyBorder="1"/>
    <xf numFmtId="164" fontId="4" fillId="0" borderId="87" xfId="7" applyNumberFormat="1" applyFont="1" applyBorder="1" applyAlignment="1">
      <alignment vertical="center"/>
    </xf>
    <xf numFmtId="0" fontId="6" fillId="0" borderId="102" xfId="0" applyFont="1" applyBorder="1"/>
    <xf numFmtId="0" fontId="6" fillId="0" borderId="87" xfId="0" applyFont="1" applyBorder="1" applyAlignment="1">
      <alignment wrapText="1"/>
    </xf>
    <xf numFmtId="164" fontId="6" fillId="0" borderId="100"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0" xfId="7" applyNumberFormat="1" applyFont="1" applyFill="1" applyBorder="1"/>
    <xf numFmtId="164" fontId="4" fillId="0" borderId="87" xfId="7" applyNumberFormat="1" applyFont="1" applyFill="1" applyBorder="1"/>
    <xf numFmtId="164" fontId="4" fillId="0" borderId="87" xfId="7" applyNumberFormat="1" applyFont="1" applyFill="1" applyBorder="1" applyAlignment="1">
      <alignment vertical="center"/>
    </xf>
    <xf numFmtId="0" fontId="14" fillId="0" borderId="87"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0" xfId="0" applyFont="1" applyFill="1" applyBorder="1"/>
    <xf numFmtId="0" fontId="6" fillId="0" borderId="25" xfId="0" applyFont="1" applyBorder="1"/>
    <xf numFmtId="0" fontId="6" fillId="0" borderId="26" xfId="0" applyFont="1" applyBorder="1" applyAlignment="1">
      <alignment wrapText="1"/>
    </xf>
    <xf numFmtId="169" fontId="28" fillId="37" borderId="103" xfId="20" applyBorder="1"/>
    <xf numFmtId="10" fontId="6" fillId="0" borderId="27" xfId="20961" applyNumberFormat="1" applyFont="1" applyBorder="1"/>
    <xf numFmtId="0" fontId="9" fillId="2" borderId="95" xfId="0" applyFont="1" applyFill="1" applyBorder="1" applyAlignment="1">
      <alignment horizontal="right" vertical="center"/>
    </xf>
    <xf numFmtId="0" fontId="9" fillId="2" borderId="82" xfId="0" applyFont="1" applyFill="1" applyBorder="1" applyAlignment="1">
      <alignment vertical="center"/>
    </xf>
    <xf numFmtId="193" fontId="9" fillId="2" borderId="82" xfId="0" applyNumberFormat="1" applyFont="1" applyFill="1" applyBorder="1" applyAlignment="1" applyProtection="1">
      <alignment vertical="center"/>
      <protection locked="0"/>
    </xf>
    <xf numFmtId="193" fontId="17" fillId="2" borderId="82" xfId="0" applyNumberFormat="1" applyFont="1" applyFill="1" applyBorder="1" applyAlignment="1" applyProtection="1">
      <alignment vertical="center"/>
      <protection locked="0"/>
    </xf>
    <xf numFmtId="0" fontId="9" fillId="0" borderId="87" xfId="0" applyFont="1" applyBorder="1" applyAlignment="1">
      <alignment horizontal="left" vertical="center" wrapText="1"/>
    </xf>
    <xf numFmtId="0" fontId="6" fillId="3" borderId="0" xfId="0" applyFont="1" applyFill="1" applyAlignment="1">
      <alignment horizontal="center"/>
    </xf>
    <xf numFmtId="0" fontId="115" fillId="0" borderId="0" xfId="11" applyFont="1"/>
    <xf numFmtId="0" fontId="116" fillId="0" borderId="0" xfId="0" applyFont="1"/>
    <xf numFmtId="0" fontId="117" fillId="0" borderId="0" xfId="11" applyFont="1"/>
    <xf numFmtId="14" fontId="116" fillId="0" borderId="0" xfId="0" applyNumberFormat="1" applyFont="1"/>
    <xf numFmtId="0" fontId="119"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protection locked="0"/>
    </xf>
    <xf numFmtId="0" fontId="120" fillId="3" borderId="87" xfId="13" applyFont="1" applyFill="1" applyBorder="1" applyAlignment="1" applyProtection="1">
      <alignment horizontal="left" vertical="center" wrapText="1"/>
      <protection locked="0"/>
    </xf>
    <xf numFmtId="0" fontId="119" fillId="0" borderId="87" xfId="0" applyFont="1" applyBorder="1"/>
    <xf numFmtId="0" fontId="120" fillId="0" borderId="87" xfId="13" applyFont="1" applyBorder="1" applyAlignment="1" applyProtection="1">
      <alignment horizontal="left" vertical="center" wrapText="1"/>
      <protection locked="0"/>
    </xf>
    <xf numFmtId="49" fontId="120" fillId="0" borderId="87" xfId="5" applyNumberFormat="1" applyFont="1" applyBorder="1" applyAlignment="1" applyProtection="1">
      <alignment horizontal="right" vertical="center"/>
      <protection locked="0"/>
    </xf>
    <xf numFmtId="49" fontId="121" fillId="0" borderId="87" xfId="5" applyNumberFormat="1" applyFont="1" applyBorder="1" applyAlignment="1" applyProtection="1">
      <alignment horizontal="right" vertical="center"/>
      <protection locked="0"/>
    </xf>
    <xf numFmtId="0" fontId="116" fillId="0" borderId="0" xfId="0" applyFont="1" applyAlignment="1">
      <alignment wrapText="1"/>
    </xf>
    <xf numFmtId="0" fontId="116" fillId="0" borderId="87" xfId="0" applyFont="1" applyBorder="1" applyAlignment="1">
      <alignment horizontal="center" vertical="center"/>
    </xf>
    <xf numFmtId="0" fontId="116"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wrapText="1"/>
      <protection locked="0"/>
    </xf>
    <xf numFmtId="0" fontId="116" fillId="0" borderId="87" xfId="0" applyFont="1" applyBorder="1"/>
    <xf numFmtId="166" fontId="115" fillId="36" borderId="87" xfId="21413" applyFont="1" applyFill="1" applyBorder="1"/>
    <xf numFmtId="49" fontId="120" fillId="0" borderId="87" xfId="5" applyNumberFormat="1" applyFont="1" applyBorder="1" applyAlignment="1" applyProtection="1">
      <alignment horizontal="right" vertical="center" wrapText="1"/>
      <protection locked="0"/>
    </xf>
    <xf numFmtId="49" fontId="121" fillId="0" borderId="87" xfId="5" applyNumberFormat="1" applyFont="1" applyBorder="1" applyAlignment="1" applyProtection="1">
      <alignment horizontal="right" vertical="center" wrapText="1"/>
      <protection locked="0"/>
    </xf>
    <xf numFmtId="0" fontId="119" fillId="0" borderId="0" xfId="0" applyFont="1"/>
    <xf numFmtId="0" fontId="116" fillId="0" borderId="87" xfId="0" applyFont="1" applyBorder="1" applyAlignment="1">
      <alignment wrapText="1"/>
    </xf>
    <xf numFmtId="0" fontId="116" fillId="0" borderId="87" xfId="0" applyFont="1" applyBorder="1" applyAlignment="1">
      <alignment horizontal="left" indent="8"/>
    </xf>
    <xf numFmtId="0" fontId="115" fillId="0" borderId="87" xfId="0" applyFont="1" applyBorder="1" applyAlignment="1">
      <alignment horizontal="left" vertical="center" wrapText="1"/>
    </xf>
    <xf numFmtId="0" fontId="116" fillId="0" borderId="0" xfId="0" applyFont="1" applyAlignment="1">
      <alignment horizontal="left"/>
    </xf>
    <xf numFmtId="0" fontId="118" fillId="0" borderId="87" xfId="0" applyFont="1" applyBorder="1" applyAlignment="1">
      <alignment horizontal="left" indent="1"/>
    </xf>
    <xf numFmtId="0" fontId="118" fillId="0" borderId="87" xfId="0" applyFont="1" applyBorder="1" applyAlignment="1">
      <alignment horizontal="left" wrapText="1" indent="1"/>
    </xf>
    <xf numFmtId="0" fontId="115" fillId="0" borderId="87" xfId="0" applyFont="1" applyBorder="1" applyAlignment="1">
      <alignment horizontal="left" indent="1"/>
    </xf>
    <xf numFmtId="0" fontId="115" fillId="0" borderId="87" xfId="0" applyFont="1" applyBorder="1" applyAlignment="1">
      <alignment horizontal="left" wrapText="1" indent="2"/>
    </xf>
    <xf numFmtId="0" fontId="118" fillId="0" borderId="87" xfId="0" applyFont="1" applyBorder="1" applyAlignment="1">
      <alignment horizontal="left" vertical="center" indent="1"/>
    </xf>
    <xf numFmtId="0" fontId="116" fillId="79" borderId="87" xfId="0" applyFont="1" applyFill="1" applyBorder="1"/>
    <xf numFmtId="0" fontId="116" fillId="0" borderId="87" xfId="0" applyFont="1" applyBorder="1" applyAlignment="1">
      <alignment horizontal="left" wrapText="1"/>
    </xf>
    <xf numFmtId="0" fontId="116" fillId="0" borderId="87" xfId="0" applyFont="1" applyBorder="1" applyAlignment="1">
      <alignment horizontal="left" wrapText="1" indent="2"/>
    </xf>
    <xf numFmtId="0" fontId="119" fillId="0" borderId="7" xfId="0" applyFont="1" applyBorder="1"/>
    <xf numFmtId="0" fontId="119" fillId="79" borderId="87" xfId="0" applyFont="1" applyFill="1" applyBorder="1"/>
    <xf numFmtId="0" fontId="116" fillId="0" borderId="0" xfId="0" applyFont="1" applyAlignment="1">
      <alignment horizontal="center" vertical="center"/>
    </xf>
    <xf numFmtId="0" fontId="116" fillId="0" borderId="0" xfId="0" applyFont="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7" xfId="0" applyNumberFormat="1" applyFont="1" applyBorder="1" applyAlignment="1">
      <alignment horizontal="center" vertical="center" wrapText="1"/>
    </xf>
    <xf numFmtId="0" fontId="116" fillId="0" borderId="87" xfId="0" applyFont="1" applyBorder="1" applyAlignment="1">
      <alignment horizontal="center"/>
    </xf>
    <xf numFmtId="0" fontId="116" fillId="0" borderId="87" xfId="0" applyFont="1" applyBorder="1" applyAlignment="1">
      <alignment horizontal="left" indent="1"/>
    </xf>
    <xf numFmtId="0" fontId="116" fillId="80" borderId="87" xfId="0" applyFont="1" applyFill="1" applyBorder="1"/>
    <xf numFmtId="0" fontId="116" fillId="0" borderId="7" xfId="0" applyFont="1" applyBorder="1"/>
    <xf numFmtId="0" fontId="116" fillId="0" borderId="87" xfId="0" applyFont="1" applyBorder="1" applyAlignment="1">
      <alignment horizontal="left" indent="2"/>
    </xf>
    <xf numFmtId="49" fontId="116" fillId="0" borderId="87" xfId="0" applyNumberFormat="1" applyFont="1" applyBorder="1" applyAlignment="1">
      <alignment horizontal="left" indent="3"/>
    </xf>
    <xf numFmtId="49" fontId="116" fillId="0" borderId="87" xfId="0" applyNumberFormat="1" applyFont="1" applyBorder="1" applyAlignment="1">
      <alignment horizontal="left" indent="1"/>
    </xf>
    <xf numFmtId="49" fontId="116" fillId="0" borderId="87" xfId="0" applyNumberFormat="1" applyFont="1" applyBorder="1" applyAlignment="1">
      <alignment horizontal="left" wrapText="1" indent="2"/>
    </xf>
    <xf numFmtId="49" fontId="116" fillId="0" borderId="87" xfId="0" applyNumberFormat="1" applyFont="1" applyBorder="1" applyAlignment="1">
      <alignment horizontal="left" wrapText="1" indent="3"/>
    </xf>
    <xf numFmtId="0" fontId="116" fillId="0" borderId="87" xfId="0" applyFont="1" applyBorder="1" applyAlignment="1">
      <alignment horizontal="left" wrapText="1" indent="1"/>
    </xf>
    <xf numFmtId="0" fontId="118" fillId="0" borderId="116" xfId="0" applyFont="1" applyBorder="1" applyAlignment="1">
      <alignment horizontal="left" vertical="center" wrapText="1"/>
    </xf>
    <xf numFmtId="0" fontId="116" fillId="0" borderId="82" xfId="0" applyFont="1" applyBorder="1" applyAlignment="1">
      <alignment horizontal="center" vertical="center" wrapText="1"/>
    </xf>
    <xf numFmtId="0" fontId="118" fillId="0" borderId="87" xfId="0" applyFont="1" applyBorder="1" applyAlignment="1">
      <alignment horizontal="left" vertical="center" wrapText="1"/>
    </xf>
    <xf numFmtId="0" fontId="124" fillId="0" borderId="0" xfId="0" applyFont="1"/>
    <xf numFmtId="0" fontId="124" fillId="0" borderId="0" xfId="0" applyFont="1" applyAlignment="1">
      <alignment horizontal="center" vertical="center"/>
    </xf>
    <xf numFmtId="0" fontId="11" fillId="0" borderId="87" xfId="17" applyFill="1" applyBorder="1" applyAlignment="1" applyProtection="1">
      <alignment wrapText="1"/>
    </xf>
    <xf numFmtId="49" fontId="116" fillId="0" borderId="87" xfId="0" applyNumberFormat="1" applyFont="1" applyBorder="1" applyAlignment="1">
      <alignment horizontal="left" wrapText="1" indent="1"/>
    </xf>
    <xf numFmtId="0" fontId="116" fillId="0" borderId="0" xfId="0" applyFont="1" applyAlignment="1">
      <alignment horizontal="left" vertical="top" wrapText="1"/>
    </xf>
    <xf numFmtId="0" fontId="122" fillId="0" borderId="87" xfId="13" applyFont="1" applyBorder="1" applyAlignment="1" applyProtection="1">
      <alignment horizontal="left" vertical="center" wrapText="1"/>
      <protection locked="0"/>
    </xf>
    <xf numFmtId="0" fontId="25" fillId="0" borderId="102" xfId="0" applyFont="1" applyBorder="1" applyAlignment="1">
      <alignment horizontal="center"/>
    </xf>
    <xf numFmtId="0" fontId="124" fillId="0" borderId="87" xfId="0" applyFont="1" applyBorder="1" applyAlignment="1">
      <alignment horizontal="left" indent="2"/>
    </xf>
    <xf numFmtId="0" fontId="124" fillId="0" borderId="82" xfId="0" applyFont="1" applyBorder="1" applyAlignment="1">
      <alignment horizontal="left" indent="2"/>
    </xf>
    <xf numFmtId="0" fontId="0" fillId="0" borderId="7" xfId="0" applyBorder="1"/>
    <xf numFmtId="0" fontId="25" fillId="0" borderId="87" xfId="0" applyFont="1" applyBorder="1"/>
    <xf numFmtId="0" fontId="104" fillId="0" borderId="87" xfId="0" applyFont="1" applyBorder="1"/>
    <xf numFmtId="10" fontId="9" fillId="2" borderId="87" xfId="20961" applyNumberFormat="1" applyFont="1" applyFill="1" applyBorder="1" applyAlignment="1" applyProtection="1">
      <alignment vertical="center"/>
      <protection locked="0"/>
    </xf>
    <xf numFmtId="10" fontId="17" fillId="2" borderId="87" xfId="20961" applyNumberFormat="1" applyFont="1" applyFill="1" applyBorder="1" applyAlignment="1" applyProtection="1">
      <alignment vertical="center"/>
      <protection locked="0"/>
    </xf>
    <xf numFmtId="193" fontId="9" fillId="0" borderId="87" xfId="0" applyNumberFormat="1" applyFont="1" applyBorder="1" applyAlignment="1" applyProtection="1">
      <alignment vertical="center"/>
      <protection locked="0"/>
    </xf>
    <xf numFmtId="10" fontId="9" fillId="0" borderId="87" xfId="20961" applyNumberFormat="1" applyFont="1" applyFill="1" applyBorder="1" applyAlignment="1" applyProtection="1">
      <alignment vertical="center"/>
      <protection locked="0"/>
    </xf>
    <xf numFmtId="9" fontId="9" fillId="2"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0" fontId="0" fillId="82" borderId="0" xfId="0" applyFill="1"/>
    <xf numFmtId="193" fontId="10" fillId="0" borderId="3" xfId="0" applyNumberFormat="1" applyFont="1" applyBorder="1" applyAlignment="1">
      <alignment horizontal="right"/>
    </xf>
    <xf numFmtId="164" fontId="4" fillId="0" borderId="100" xfId="7" applyNumberFormat="1" applyFont="1" applyFill="1" applyBorder="1" applyAlignment="1">
      <alignment horizontal="right" vertical="center" wrapText="1"/>
    </xf>
    <xf numFmtId="164" fontId="108" fillId="0" borderId="100"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4" fillId="36" borderId="27" xfId="7" applyNumberFormat="1" applyFont="1" applyFill="1" applyBorder="1"/>
    <xf numFmtId="165" fontId="4" fillId="36" borderId="27" xfId="20961" applyNumberFormat="1" applyFont="1" applyFill="1" applyBorder="1"/>
    <xf numFmtId="164" fontId="4" fillId="0" borderId="88" xfId="7" applyNumberFormat="1" applyFont="1" applyFill="1" applyBorder="1" applyAlignment="1">
      <alignment vertical="center"/>
    </xf>
    <xf numFmtId="164" fontId="4" fillId="3" borderId="85" xfId="7" applyNumberFormat="1" applyFont="1" applyFill="1" applyBorder="1" applyAlignment="1">
      <alignment vertical="center"/>
    </xf>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6" fillId="0" borderId="88" xfId="7" applyNumberFormat="1" applyFont="1" applyFill="1" applyBorder="1" applyAlignment="1">
      <alignment vertical="center"/>
    </xf>
    <xf numFmtId="164" fontId="6" fillId="0" borderId="26" xfId="0" applyNumberFormat="1" applyFont="1" applyBorder="1" applyAlignment="1">
      <alignment vertical="center"/>
    </xf>
    <xf numFmtId="164" fontId="4" fillId="0" borderId="30" xfId="7" applyNumberFormat="1" applyFont="1" applyFill="1" applyBorder="1" applyAlignment="1">
      <alignment vertical="center"/>
    </xf>
    <xf numFmtId="164" fontId="6" fillId="0" borderId="30" xfId="0" applyNumberFormat="1" applyFont="1" applyBorder="1" applyAlignment="1">
      <alignment vertical="center"/>
    </xf>
    <xf numFmtId="164" fontId="6" fillId="0" borderId="21" xfId="0" applyNumberFormat="1" applyFont="1" applyBorder="1" applyAlignment="1">
      <alignment vertical="center"/>
    </xf>
    <xf numFmtId="164" fontId="4" fillId="0" borderId="123" xfId="7" applyNumberFormat="1" applyFont="1" applyFill="1" applyBorder="1" applyAlignment="1">
      <alignment vertical="center"/>
    </xf>
    <xf numFmtId="9" fontId="4" fillId="0" borderId="81" xfId="20961" applyFont="1" applyFill="1" applyBorder="1" applyAlignment="1">
      <alignment vertical="center"/>
    </xf>
    <xf numFmtId="9" fontId="4" fillId="0" borderId="124" xfId="20961" applyFont="1" applyFill="1" applyBorder="1" applyAlignment="1">
      <alignment vertical="center"/>
    </xf>
    <xf numFmtId="10" fontId="112" fillId="78" borderId="87" xfId="20961" applyNumberFormat="1" applyFont="1" applyFill="1" applyBorder="1" applyAlignment="1" applyProtection="1">
      <alignment horizontal="right" vertical="center"/>
    </xf>
    <xf numFmtId="164" fontId="4" fillId="0" borderId="87" xfId="7" applyNumberFormat="1" applyFont="1" applyBorder="1" applyAlignment="1"/>
    <xf numFmtId="164" fontId="119" fillId="0" borderId="87" xfId="7" applyNumberFormat="1" applyFont="1" applyBorder="1"/>
    <xf numFmtId="164" fontId="116" fillId="0" borderId="87" xfId="7" applyNumberFormat="1" applyFont="1" applyBorder="1"/>
    <xf numFmtId="164" fontId="116" fillId="0" borderId="87" xfId="7" applyNumberFormat="1" applyFont="1" applyFill="1" applyBorder="1"/>
    <xf numFmtId="164" fontId="116" fillId="0" borderId="0" xfId="0" applyNumberFormat="1" applyFont="1"/>
    <xf numFmtId="43" fontId="119" fillId="0" borderId="87" xfId="7" applyFont="1" applyBorder="1"/>
    <xf numFmtId="164" fontId="116" fillId="0" borderId="87" xfId="7" applyNumberFormat="1" applyFont="1" applyBorder="1" applyAlignment="1">
      <alignment horizontal="center" vertical="center" wrapText="1"/>
    </xf>
    <xf numFmtId="164" fontId="116" fillId="0" borderId="87" xfId="7" applyNumberFormat="1" applyFont="1" applyBorder="1" applyAlignment="1">
      <alignment horizontal="center" vertical="center"/>
    </xf>
    <xf numFmtId="164" fontId="118" fillId="0" borderId="87" xfId="0" applyNumberFormat="1" applyFont="1" applyBorder="1" applyAlignment="1">
      <alignment horizontal="left" vertical="center" wrapText="1"/>
    </xf>
    <xf numFmtId="164" fontId="119" fillId="0" borderId="87" xfId="0" applyNumberFormat="1" applyFont="1" applyBorder="1"/>
    <xf numFmtId="164" fontId="119" fillId="0" borderId="7" xfId="7" applyNumberFormat="1" applyFont="1" applyBorder="1"/>
    <xf numFmtId="164" fontId="116" fillId="81" borderId="87" xfId="7" applyNumberFormat="1" applyFont="1" applyFill="1" applyBorder="1"/>
    <xf numFmtId="164" fontId="116" fillId="0" borderId="87" xfId="7" applyNumberFormat="1" applyFont="1" applyFill="1" applyBorder="1" applyAlignment="1">
      <alignment horizontal="left" wrapText="1" indent="1"/>
    </xf>
    <xf numFmtId="9" fontId="116" fillId="0" borderId="0" xfId="20961" applyFont="1"/>
    <xf numFmtId="164" fontId="124" fillId="0" borderId="87" xfId="7" applyNumberFormat="1" applyFont="1" applyBorder="1"/>
    <xf numFmtId="164" fontId="124" fillId="0" borderId="82" xfId="7" applyNumberFormat="1" applyFont="1" applyBorder="1"/>
    <xf numFmtId="164" fontId="128" fillId="0" borderId="87" xfId="7" applyNumberFormat="1" applyFont="1" applyBorder="1"/>
    <xf numFmtId="0" fontId="9" fillId="0" borderId="102" xfId="0" applyFont="1" applyBorder="1" applyAlignment="1">
      <alignment vertical="center"/>
    </xf>
    <xf numFmtId="0" fontId="13" fillId="0" borderId="88" xfId="0" applyFont="1" applyBorder="1" applyAlignment="1">
      <alignment wrapText="1"/>
    </xf>
    <xf numFmtId="0" fontId="13" fillId="0" borderId="87" xfId="0" applyFont="1" applyBorder="1" applyAlignment="1">
      <alignment wrapText="1"/>
    </xf>
    <xf numFmtId="10" fontId="4" fillId="0" borderId="24" xfId="20961" applyNumberFormat="1" applyFont="1" applyBorder="1" applyAlignment="1"/>
    <xf numFmtId="0" fontId="9" fillId="0" borderId="95" xfId="0" applyFont="1" applyBorder="1" applyAlignment="1">
      <alignment vertical="center"/>
    </xf>
    <xf numFmtId="0" fontId="13" fillId="0" borderId="123" xfId="0" applyFont="1" applyBorder="1" applyAlignment="1">
      <alignment wrapText="1"/>
    </xf>
    <xf numFmtId="10" fontId="4" fillId="0" borderId="100" xfId="20961" applyNumberFormat="1" applyFont="1" applyBorder="1" applyAlignment="1"/>
    <xf numFmtId="10" fontId="4" fillId="0" borderId="75" xfId="20961" applyNumberFormat="1" applyFont="1" applyBorder="1" applyAlignment="1"/>
    <xf numFmtId="10" fontId="4" fillId="0" borderId="27" xfId="20961" applyNumberFormat="1" applyFont="1" applyBorder="1" applyAlignment="1"/>
    <xf numFmtId="0" fontId="13" fillId="0" borderId="28" xfId="0" applyFont="1" applyBorder="1" applyAlignment="1">
      <alignment wrapText="1"/>
    </xf>
    <xf numFmtId="0" fontId="126" fillId="0" borderId="120" xfId="0" applyFont="1" applyBorder="1" applyAlignment="1">
      <alignment vertical="center" wrapText="1" readingOrder="1"/>
    </xf>
    <xf numFmtId="0" fontId="126" fillId="0" borderId="121" xfId="0" applyFont="1" applyBorder="1" applyAlignment="1">
      <alignment vertical="center" wrapText="1" readingOrder="1"/>
    </xf>
    <xf numFmtId="0" fontId="124" fillId="0" borderId="87" xfId="0" applyFont="1" applyBorder="1" applyAlignment="1">
      <alignment horizontal="left" indent="3"/>
    </xf>
    <xf numFmtId="0" fontId="126" fillId="0" borderId="121" xfId="0" applyFont="1" applyBorder="1" applyAlignment="1">
      <alignment horizontal="left" vertical="center" wrapText="1" indent="1" readingOrder="1"/>
    </xf>
    <xf numFmtId="0" fontId="126" fillId="0" borderId="122" xfId="0" applyFont="1" applyBorder="1" applyAlignment="1">
      <alignment vertical="center" wrapText="1" readingOrder="1"/>
    </xf>
    <xf numFmtId="0" fontId="127" fillId="0" borderId="87" xfId="0" applyFont="1" applyBorder="1" applyAlignment="1">
      <alignment vertical="center" wrapText="1" readingOrder="1"/>
    </xf>
    <xf numFmtId="10" fontId="128" fillId="0" borderId="87" xfId="20961" applyNumberFormat="1" applyFont="1" applyBorder="1" applyAlignment="1">
      <alignment horizontal="center"/>
    </xf>
    <xf numFmtId="43" fontId="124" fillId="0" borderId="87" xfId="7" applyFont="1" applyBorder="1" applyAlignment="1">
      <alignment horizontal="center"/>
    </xf>
    <xf numFmtId="43" fontId="124" fillId="0" borderId="82" xfId="7" applyFont="1" applyBorder="1" applyAlignment="1">
      <alignment horizontal="center"/>
    </xf>
    <xf numFmtId="43" fontId="128" fillId="0" borderId="87" xfId="7" applyFont="1" applyBorder="1" applyAlignment="1">
      <alignment horizontal="center"/>
    </xf>
    <xf numFmtId="9" fontId="124" fillId="0" borderId="87" xfId="20961" applyFont="1" applyBorder="1" applyAlignment="1">
      <alignment horizontal="center"/>
    </xf>
    <xf numFmtId="9" fontId="124" fillId="0" borderId="87" xfId="20961" applyFont="1" applyBorder="1"/>
    <xf numFmtId="9" fontId="124" fillId="0" borderId="82" xfId="20961" applyFont="1" applyBorder="1" applyAlignment="1">
      <alignment horizontal="center"/>
    </xf>
    <xf numFmtId="193" fontId="4" fillId="0" borderId="0" xfId="0" applyNumberFormat="1" applyFont="1"/>
    <xf numFmtId="164" fontId="6" fillId="0" borderId="87" xfId="7" applyNumberFormat="1" applyFont="1" applyBorder="1"/>
    <xf numFmtId="164" fontId="6" fillId="0" borderId="87" xfId="7" applyNumberFormat="1" applyFont="1" applyBorder="1" applyAlignment="1">
      <alignment vertical="center"/>
    </xf>
    <xf numFmtId="43" fontId="116" fillId="0" borderId="0" xfId="7" applyFont="1"/>
    <xf numFmtId="43" fontId="116" fillId="0" borderId="0" xfId="0" applyNumberFormat="1" applyFont="1"/>
    <xf numFmtId="164" fontId="116" fillId="0" borderId="0" xfId="7" applyNumberFormat="1" applyFont="1"/>
    <xf numFmtId="43" fontId="119" fillId="0" borderId="0" xfId="0" applyNumberFormat="1" applyFont="1"/>
    <xf numFmtId="10" fontId="116" fillId="0" borderId="0" xfId="20961" applyNumberFormat="1" applyFont="1"/>
    <xf numFmtId="166" fontId="115" fillId="36" borderId="125" xfId="21413" applyFont="1" applyFill="1" applyBorder="1"/>
    <xf numFmtId="164" fontId="4" fillId="0" borderId="100" xfId="7" applyNumberFormat="1" applyFont="1" applyFill="1" applyBorder="1" applyAlignment="1"/>
    <xf numFmtId="164" fontId="4" fillId="0" borderId="100" xfId="7" applyNumberFormat="1" applyFont="1" applyFill="1" applyBorder="1"/>
    <xf numFmtId="164" fontId="4" fillId="0" borderId="0" xfId="0" applyNumberFormat="1" applyFont="1"/>
    <xf numFmtId="194" fontId="115" fillId="36" borderId="125" xfId="21413" applyNumberFormat="1" applyFont="1" applyFill="1" applyBorder="1"/>
    <xf numFmtId="14" fontId="4" fillId="0" borderId="0" xfId="0" applyNumberFormat="1" applyFont="1" applyAlignment="1">
      <alignment horizontal="left"/>
    </xf>
    <xf numFmtId="193" fontId="107" fillId="0" borderId="3" xfId="0" applyNumberFormat="1" applyFont="1" applyBorder="1"/>
    <xf numFmtId="193" fontId="107" fillId="0" borderId="8" xfId="0" applyNumberFormat="1" applyFont="1" applyBorder="1"/>
    <xf numFmtId="43" fontId="107" fillId="0" borderId="3" xfId="7" applyFont="1" applyBorder="1" applyAlignment="1"/>
    <xf numFmtId="193" fontId="107" fillId="36" borderId="26" xfId="0" applyNumberFormat="1" applyFont="1" applyFill="1" applyBorder="1"/>
    <xf numFmtId="164" fontId="4" fillId="0" borderId="0" xfId="7" applyNumberFormat="1" applyFont="1" applyFill="1" applyBorder="1"/>
    <xf numFmtId="164" fontId="0" fillId="0" borderId="0" xfId="0" applyNumberFormat="1"/>
    <xf numFmtId="164" fontId="0" fillId="0" borderId="0" xfId="7" applyNumberFormat="1" applyFont="1"/>
    <xf numFmtId="164" fontId="3" fillId="0" borderId="0" xfId="7" applyNumberFormat="1" applyFont="1"/>
    <xf numFmtId="164" fontId="6" fillId="0" borderId="87" xfId="7" applyNumberFormat="1" applyFont="1" applyFill="1" applyBorder="1"/>
    <xf numFmtId="164" fontId="6" fillId="0" borderId="87" xfId="7" applyNumberFormat="1" applyFont="1" applyFill="1" applyBorder="1" applyAlignment="1">
      <alignment vertical="center"/>
    </xf>
    <xf numFmtId="0" fontId="4" fillId="83" borderId="77" xfId="0" applyFont="1" applyFill="1" applyBorder="1" applyAlignment="1">
      <alignment horizontal="center" vertical="center"/>
    </xf>
    <xf numFmtId="0" fontId="4" fillId="83" borderId="102" xfId="0" applyFont="1" applyFill="1" applyBorder="1" applyAlignment="1">
      <alignment horizontal="center" vertical="center"/>
    </xf>
    <xf numFmtId="49" fontId="116" fillId="0" borderId="87" xfId="0" applyNumberFormat="1" applyFont="1" applyBorder="1" applyAlignment="1">
      <alignment horizontal="left" vertical="top" wrapText="1" indent="2"/>
    </xf>
    <xf numFmtId="43" fontId="0" fillId="0" borderId="0" xfId="0" applyNumberFormat="1"/>
    <xf numFmtId="193" fontId="10" fillId="0" borderId="125" xfId="0" applyNumberFormat="1" applyFont="1" applyBorder="1" applyAlignment="1">
      <alignment horizontal="right"/>
    </xf>
    <xf numFmtId="193" fontId="0" fillId="0" borderId="0" xfId="0" applyNumberFormat="1"/>
    <xf numFmtId="193" fontId="12" fillId="0" borderId="0" xfId="0" applyNumberFormat="1" applyFont="1"/>
    <xf numFmtId="165" fontId="9" fillId="0" borderId="87" xfId="20961" applyNumberFormat="1" applyFont="1" applyFill="1" applyBorder="1" applyAlignment="1" applyProtection="1">
      <alignment vertical="center"/>
      <protection locked="0"/>
    </xf>
    <xf numFmtId="164" fontId="112" fillId="0" borderId="87" xfId="948" applyNumberFormat="1" applyFont="1" applyFill="1" applyBorder="1" applyAlignment="1" applyProtection="1">
      <alignment horizontal="right" vertical="center"/>
    </xf>
    <xf numFmtId="164" fontId="119" fillId="0" borderId="87" xfId="7" applyNumberFormat="1" applyFont="1" applyFill="1" applyBorder="1"/>
    <xf numFmtId="10" fontId="124" fillId="0" borderId="87" xfId="20961" applyNumberFormat="1" applyFont="1" applyBorder="1" applyAlignment="1">
      <alignment horizontal="center"/>
    </xf>
    <xf numFmtId="43" fontId="124" fillId="0" borderId="87" xfId="7" applyFont="1" applyBorder="1" applyAlignment="1"/>
    <xf numFmtId="164" fontId="6" fillId="0" borderId="100" xfId="7" applyNumberFormat="1" applyFont="1" applyFill="1" applyBorder="1"/>
    <xf numFmtId="164" fontId="116" fillId="0" borderId="0" xfId="7" applyNumberFormat="1" applyFont="1" applyAlignment="1">
      <alignment horizontal="center" vertical="center"/>
    </xf>
    <xf numFmtId="10" fontId="128" fillId="0" borderId="87" xfId="20961" applyNumberFormat="1" applyFont="1" applyFill="1" applyBorder="1" applyAlignment="1">
      <alignment horizontal="center"/>
    </xf>
    <xf numFmtId="193" fontId="9" fillId="0" borderId="3" xfId="5" applyNumberFormat="1" applyFont="1" applyFill="1" applyBorder="1" applyProtection="1">
      <protection locked="0"/>
    </xf>
    <xf numFmtId="193" fontId="20" fillId="0" borderId="3" xfId="0" applyNumberFormat="1" applyFont="1" applyFill="1" applyBorder="1" applyAlignment="1" applyProtection="1">
      <alignment horizontal="right" vertical="center"/>
      <protection locked="0"/>
    </xf>
    <xf numFmtId="193" fontId="7" fillId="0" borderId="23" xfId="2" applyNumberFormat="1" applyFont="1" applyFill="1" applyBorder="1" applyAlignment="1" applyProtection="1">
      <alignment vertical="top"/>
      <protection locked="0"/>
    </xf>
    <xf numFmtId="193" fontId="25" fillId="0" borderId="14" xfId="0" applyNumberFormat="1" applyFont="1" applyFill="1" applyBorder="1" applyAlignment="1">
      <alignment vertical="center"/>
    </xf>
    <xf numFmtId="193" fontId="9" fillId="0" borderId="82" xfId="0" applyNumberFormat="1" applyFont="1" applyFill="1" applyBorder="1" applyAlignment="1" applyProtection="1">
      <alignment vertical="center"/>
      <protection locked="0"/>
    </xf>
    <xf numFmtId="9" fontId="9" fillId="0" borderId="26" xfId="20961" applyFont="1" applyFill="1" applyBorder="1" applyAlignment="1" applyProtection="1">
      <alignment vertical="center"/>
      <protection locked="0"/>
    </xf>
    <xf numFmtId="193" fontId="7" fillId="0" borderId="87" xfId="0" applyNumberFormat="1" applyFont="1" applyFill="1" applyBorder="1" applyAlignment="1" applyProtection="1">
      <alignment vertical="center" wrapText="1"/>
      <protection locked="0"/>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xf>
    <xf numFmtId="0" fontId="4" fillId="0" borderId="24" xfId="0" applyFont="1" applyBorder="1" applyAlignment="1">
      <alignment horizontal="center"/>
    </xf>
    <xf numFmtId="0" fontId="6" fillId="36" borderId="10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1"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75"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94" xfId="0" applyFont="1" applyBorder="1" applyAlignment="1">
      <alignment horizontal="center" vertical="center" wrapText="1"/>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0" xfId="0" applyFont="1" applyBorder="1" applyAlignment="1">
      <alignment horizontal="center" vertical="center" wrapText="1"/>
    </xf>
    <xf numFmtId="0" fontId="118" fillId="0" borderId="107" xfId="0" applyFont="1" applyBorder="1" applyAlignment="1">
      <alignment horizontal="left" vertical="center" wrapText="1"/>
    </xf>
    <xf numFmtId="0" fontId="118" fillId="0" borderId="108" xfId="0" applyFont="1" applyBorder="1" applyAlignment="1">
      <alignment horizontal="left" vertical="center" wrapText="1"/>
    </xf>
    <xf numFmtId="0" fontId="118" fillId="0" borderId="110" xfId="0" applyFont="1" applyBorder="1" applyAlignment="1">
      <alignment horizontal="left" vertical="center" wrapText="1"/>
    </xf>
    <xf numFmtId="0" fontId="118" fillId="0" borderId="111" xfId="0" applyFont="1" applyBorder="1" applyAlignment="1">
      <alignment horizontal="left" vertical="center" wrapText="1"/>
    </xf>
    <xf numFmtId="0" fontId="118" fillId="0" borderId="113" xfId="0" applyFont="1" applyBorder="1" applyAlignment="1">
      <alignment horizontal="left" vertical="center" wrapText="1"/>
    </xf>
    <xf numFmtId="0" fontId="118" fillId="0" borderId="114" xfId="0" applyFont="1" applyBorder="1" applyAlignment="1">
      <alignment horizontal="left" vertical="center" wrapText="1"/>
    </xf>
    <xf numFmtId="0" fontId="119" fillId="0" borderId="83" xfId="0" applyFont="1" applyBorder="1" applyAlignment="1">
      <alignment horizontal="center" vertical="center" wrapText="1"/>
    </xf>
    <xf numFmtId="0" fontId="119" fillId="0" borderId="99" xfId="0" applyFont="1" applyBorder="1" applyAlignment="1">
      <alignment horizontal="center" vertical="center" wrapText="1"/>
    </xf>
    <xf numFmtId="0" fontId="119" fillId="0" borderId="109" xfId="0" applyFont="1" applyBorder="1" applyAlignment="1">
      <alignment horizontal="center" vertical="center" wrapText="1"/>
    </xf>
    <xf numFmtId="0" fontId="119" fillId="0" borderId="59" xfId="0" applyFont="1" applyBorder="1" applyAlignment="1">
      <alignment horizontal="center" vertical="center" wrapText="1"/>
    </xf>
    <xf numFmtId="0" fontId="119" fillId="0" borderId="112"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7" xfId="0" applyFont="1" applyBorder="1" applyAlignment="1">
      <alignment horizontal="center" vertical="center" wrapText="1"/>
    </xf>
    <xf numFmtId="0" fontId="123" fillId="0" borderId="87" xfId="0" applyFont="1" applyBorder="1" applyAlignment="1">
      <alignment horizontal="center" vertical="center"/>
    </xf>
    <xf numFmtId="0" fontId="123" fillId="0" borderId="83" xfId="0" applyFont="1" applyBorder="1" applyAlignment="1">
      <alignment horizontal="center" vertical="center"/>
    </xf>
    <xf numFmtId="0" fontId="123" fillId="0" borderId="109" xfId="0" applyFont="1" applyBorder="1" applyAlignment="1">
      <alignment horizontal="center" vertical="center"/>
    </xf>
    <xf numFmtId="0" fontId="123" fillId="0" borderId="59" xfId="0" applyFont="1" applyBorder="1" applyAlignment="1">
      <alignment horizontal="center" vertical="center"/>
    </xf>
    <xf numFmtId="0" fontId="123" fillId="0" borderId="11" xfId="0" applyFont="1" applyBorder="1" applyAlignment="1">
      <alignment horizontal="center" vertical="center"/>
    </xf>
    <xf numFmtId="0" fontId="119" fillId="0" borderId="87" xfId="0" applyFont="1" applyBorder="1" applyAlignment="1">
      <alignment horizontal="center" vertical="center" wrapText="1"/>
    </xf>
    <xf numFmtId="0" fontId="119" fillId="0" borderId="115" xfId="0" applyFont="1" applyBorder="1" applyAlignment="1">
      <alignment horizontal="center" vertical="center" wrapText="1"/>
    </xf>
    <xf numFmtId="0" fontId="119" fillId="0" borderId="116" xfId="0" applyFont="1" applyBorder="1" applyAlignment="1">
      <alignment horizontal="center" vertical="center" wrapText="1"/>
    </xf>
    <xf numFmtId="0" fontId="116" fillId="0" borderId="88" xfId="0" applyFont="1" applyBorder="1" applyAlignment="1">
      <alignment horizontal="center" vertical="center" wrapText="1"/>
    </xf>
    <xf numFmtId="0" fontId="116" fillId="0" borderId="85" xfId="0" applyFont="1" applyBorder="1" applyAlignment="1">
      <alignment horizontal="center" vertical="center" wrapText="1"/>
    </xf>
    <xf numFmtId="0" fontId="116" fillId="0" borderId="86" xfId="0" applyFont="1" applyBorder="1" applyAlignment="1">
      <alignment horizontal="center" vertical="center" wrapText="1"/>
    </xf>
    <xf numFmtId="0" fontId="119" fillId="0" borderId="117"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17" xfId="0" applyFont="1" applyBorder="1" applyAlignment="1">
      <alignment horizontal="center" vertical="center" wrapText="1"/>
    </xf>
    <xf numFmtId="0" fontId="116" fillId="0" borderId="115" xfId="0" applyFont="1" applyBorder="1" applyAlignment="1">
      <alignment horizontal="center" vertical="center" wrapText="1"/>
    </xf>
    <xf numFmtId="0" fontId="116" fillId="0" borderId="0" xfId="0" applyFont="1" applyAlignment="1">
      <alignment horizontal="center" vertical="center" wrapText="1"/>
    </xf>
    <xf numFmtId="0" fontId="116" fillId="0" borderId="116" xfId="0" applyFont="1" applyBorder="1" applyAlignment="1">
      <alignment horizontal="center" vertical="center" wrapText="1"/>
    </xf>
    <xf numFmtId="0" fontId="116" fillId="0" borderId="11" xfId="0" applyFont="1" applyBorder="1" applyAlignment="1">
      <alignment horizontal="center" vertical="center" wrapText="1"/>
    </xf>
    <xf numFmtId="0" fontId="118" fillId="0" borderId="83" xfId="0" applyFont="1" applyBorder="1" applyAlignment="1">
      <alignment horizontal="left" vertical="top" wrapText="1"/>
    </xf>
    <xf numFmtId="0" fontId="118" fillId="0" borderId="109" xfId="0" applyFont="1" applyBorder="1" applyAlignment="1">
      <alignment horizontal="left" vertical="top" wrapText="1"/>
    </xf>
    <xf numFmtId="0" fontId="118" fillId="0" borderId="115" xfId="0" applyFont="1" applyBorder="1" applyAlignment="1">
      <alignment horizontal="left" vertical="top" wrapText="1"/>
    </xf>
    <xf numFmtId="0" fontId="118" fillId="0" borderId="116" xfId="0" applyFont="1" applyBorder="1" applyAlignment="1">
      <alignment horizontal="left" vertical="top" wrapText="1"/>
    </xf>
    <xf numFmtId="0" fontId="118" fillId="0" borderId="59" xfId="0" applyFont="1" applyBorder="1" applyAlignment="1">
      <alignment horizontal="left" vertical="top" wrapText="1"/>
    </xf>
    <xf numFmtId="0" fontId="118" fillId="0" borderId="11" xfId="0" applyFont="1" applyBorder="1" applyAlignment="1">
      <alignment horizontal="left" vertical="top" wrapText="1"/>
    </xf>
    <xf numFmtId="0" fontId="116" fillId="0" borderId="83" xfId="0" applyFont="1" applyBorder="1" applyAlignment="1">
      <alignment horizontal="center" vertical="center"/>
    </xf>
    <xf numFmtId="0" fontId="116" fillId="0" borderId="99" xfId="0" applyFont="1" applyBorder="1" applyAlignment="1">
      <alignment horizontal="center" vertical="center"/>
    </xf>
    <xf numFmtId="0" fontId="116" fillId="0" borderId="109" xfId="0" applyFont="1" applyBorder="1" applyAlignment="1">
      <alignment horizontal="center" vertical="center"/>
    </xf>
    <xf numFmtId="0" fontId="116" fillId="0" borderId="83" xfId="0" applyFont="1" applyBorder="1" applyAlignment="1">
      <alignment horizontal="center" vertical="center" wrapText="1"/>
    </xf>
    <xf numFmtId="0" fontId="116" fillId="0" borderId="99" xfId="0" applyFont="1" applyBorder="1" applyAlignment="1">
      <alignment horizontal="center" vertical="center" wrapText="1"/>
    </xf>
    <xf numFmtId="0" fontId="116" fillId="0" borderId="109" xfId="0" applyFont="1" applyBorder="1" applyAlignment="1">
      <alignment horizontal="center" vertical="center" wrapText="1"/>
    </xf>
    <xf numFmtId="0" fontId="116" fillId="0" borderId="83" xfId="0" applyFont="1" applyBorder="1" applyAlignment="1">
      <alignment horizontal="center" vertical="top" wrapText="1"/>
    </xf>
    <xf numFmtId="0" fontId="116" fillId="0" borderId="99" xfId="0" applyFont="1" applyBorder="1" applyAlignment="1">
      <alignment horizontal="center" vertical="top" wrapText="1"/>
    </xf>
    <xf numFmtId="0" fontId="116" fillId="0" borderId="109" xfId="0" applyFont="1" applyBorder="1" applyAlignment="1">
      <alignment horizontal="center" vertical="top" wrapText="1"/>
    </xf>
    <xf numFmtId="0" fontId="116" fillId="0" borderId="85" xfId="0" applyFont="1" applyBorder="1" applyAlignment="1">
      <alignment horizontal="center" vertical="top" wrapText="1"/>
    </xf>
    <xf numFmtId="0" fontId="116" fillId="0" borderId="86" xfId="0" applyFont="1" applyBorder="1" applyAlignment="1">
      <alignment horizontal="center" vertical="top" wrapText="1"/>
    </xf>
    <xf numFmtId="0" fontId="116" fillId="0" borderId="82" xfId="0" applyFont="1" applyBorder="1" applyAlignment="1">
      <alignment horizontal="center" vertical="top" wrapText="1"/>
    </xf>
    <xf numFmtId="0" fontId="116" fillId="0" borderId="7" xfId="0" applyFont="1" applyBorder="1" applyAlignment="1">
      <alignment horizontal="center" vertical="top" wrapText="1"/>
    </xf>
    <xf numFmtId="0" fontId="118" fillId="0" borderId="118" xfId="0" applyFont="1" applyBorder="1" applyAlignment="1">
      <alignment horizontal="left" vertical="top" wrapText="1"/>
    </xf>
    <xf numFmtId="0" fontId="118" fillId="0" borderId="119" xfId="0" applyFont="1" applyBorder="1" applyAlignment="1">
      <alignment horizontal="left" vertical="top" wrapText="1"/>
    </xf>
    <xf numFmtId="0" fontId="124" fillId="0" borderId="87" xfId="0" applyFont="1" applyBorder="1" applyAlignment="1">
      <alignment horizontal="center" vertical="center" wrapText="1"/>
    </xf>
    <xf numFmtId="0" fontId="125" fillId="0" borderId="87" xfId="0" applyFont="1" applyBorder="1" applyAlignment="1">
      <alignment horizontal="center" vertical="center"/>
    </xf>
    <xf numFmtId="0" fontId="124" fillId="0" borderId="82" xfId="0" applyFont="1" applyBorder="1" applyAlignment="1">
      <alignment horizontal="center" vertical="center"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67" t="s">
        <v>253</v>
      </c>
      <c r="C1" s="81"/>
    </row>
    <row r="2" spans="1:3" s="164" customFormat="1" ht="15.75">
      <c r="A2" s="208">
        <v>1</v>
      </c>
      <c r="B2" s="165" t="s">
        <v>254</v>
      </c>
      <c r="C2" s="538" t="s">
        <v>739</v>
      </c>
    </row>
    <row r="3" spans="1:3" s="164" customFormat="1" ht="15.75">
      <c r="A3" s="208">
        <v>2</v>
      </c>
      <c r="B3" s="166" t="s">
        <v>255</v>
      </c>
      <c r="C3" s="539" t="s">
        <v>740</v>
      </c>
    </row>
    <row r="4" spans="1:3" s="164" customFormat="1" ht="15.75">
      <c r="A4" s="208">
        <v>3</v>
      </c>
      <c r="B4" s="166" t="s">
        <v>256</v>
      </c>
      <c r="C4" s="539" t="s">
        <v>741</v>
      </c>
    </row>
    <row r="5" spans="1:3" s="164" customFormat="1" ht="15.75">
      <c r="A5" s="209">
        <v>4</v>
      </c>
      <c r="B5" s="169" t="s">
        <v>257</v>
      </c>
      <c r="C5" s="365" t="s">
        <v>742</v>
      </c>
    </row>
    <row r="6" spans="1:3" s="168" customFormat="1" ht="65.25" customHeight="1">
      <c r="A6" s="652" t="s">
        <v>370</v>
      </c>
      <c r="B6" s="653"/>
      <c r="C6" s="653"/>
    </row>
    <row r="7" spans="1:3">
      <c r="A7" s="359" t="s">
        <v>326</v>
      </c>
      <c r="B7" s="360" t="s">
        <v>258</v>
      </c>
    </row>
    <row r="8" spans="1:3">
      <c r="A8" s="361">
        <v>1</v>
      </c>
      <c r="B8" s="357" t="s">
        <v>223</v>
      </c>
    </row>
    <row r="9" spans="1:3">
      <c r="A9" s="361">
        <v>2</v>
      </c>
      <c r="B9" s="357" t="s">
        <v>259</v>
      </c>
    </row>
    <row r="10" spans="1:3">
      <c r="A10" s="361">
        <v>3</v>
      </c>
      <c r="B10" s="357" t="s">
        <v>260</v>
      </c>
    </row>
    <row r="11" spans="1:3">
      <c r="A11" s="361">
        <v>4</v>
      </c>
      <c r="B11" s="357" t="s">
        <v>261</v>
      </c>
    </row>
    <row r="12" spans="1:3">
      <c r="A12" s="361">
        <v>5</v>
      </c>
      <c r="B12" s="357" t="s">
        <v>187</v>
      </c>
    </row>
    <row r="13" spans="1:3">
      <c r="A13" s="361">
        <v>6</v>
      </c>
      <c r="B13" s="362" t="s">
        <v>149</v>
      </c>
    </row>
    <row r="14" spans="1:3">
      <c r="A14" s="361">
        <v>7</v>
      </c>
      <c r="B14" s="357" t="s">
        <v>262</v>
      </c>
    </row>
    <row r="15" spans="1:3">
      <c r="A15" s="361">
        <v>8</v>
      </c>
      <c r="B15" s="357" t="s">
        <v>265</v>
      </c>
    </row>
    <row r="16" spans="1:3">
      <c r="A16" s="361">
        <v>9</v>
      </c>
      <c r="B16" s="357" t="s">
        <v>88</v>
      </c>
    </row>
    <row r="17" spans="1:2">
      <c r="A17" s="363" t="s">
        <v>417</v>
      </c>
      <c r="B17" s="357" t="s">
        <v>397</v>
      </c>
    </row>
    <row r="18" spans="1:2">
      <c r="A18" s="361">
        <v>10</v>
      </c>
      <c r="B18" s="357" t="s">
        <v>268</v>
      </c>
    </row>
    <row r="19" spans="1:2">
      <c r="A19" s="361">
        <v>11</v>
      </c>
      <c r="B19" s="362" t="s">
        <v>249</v>
      </c>
    </row>
    <row r="20" spans="1:2">
      <c r="A20" s="361">
        <v>12</v>
      </c>
      <c r="B20" s="362" t="s">
        <v>246</v>
      </c>
    </row>
    <row r="21" spans="1:2">
      <c r="A21" s="361">
        <v>13</v>
      </c>
      <c r="B21" s="364" t="s">
        <v>361</v>
      </c>
    </row>
    <row r="22" spans="1:2">
      <c r="A22" s="361">
        <v>14</v>
      </c>
      <c r="B22" s="365" t="s">
        <v>391</v>
      </c>
    </row>
    <row r="23" spans="1:2">
      <c r="A23" s="361">
        <v>15</v>
      </c>
      <c r="B23" s="362" t="s">
        <v>77</v>
      </c>
    </row>
    <row r="24" spans="1:2">
      <c r="A24" s="361">
        <v>15.1</v>
      </c>
      <c r="B24" s="357" t="s">
        <v>426</v>
      </c>
    </row>
    <row r="25" spans="1:2">
      <c r="A25" s="361">
        <v>16</v>
      </c>
      <c r="B25" s="357" t="s">
        <v>494</v>
      </c>
    </row>
    <row r="26" spans="1:2">
      <c r="A26" s="361">
        <v>17</v>
      </c>
      <c r="B26" s="357" t="s">
        <v>703</v>
      </c>
    </row>
    <row r="27" spans="1:2">
      <c r="A27" s="361">
        <v>18</v>
      </c>
      <c r="B27" s="357" t="s">
        <v>712</v>
      </c>
    </row>
    <row r="28" spans="1:2">
      <c r="A28" s="361">
        <v>19</v>
      </c>
      <c r="B28" s="357" t="s">
        <v>713</v>
      </c>
    </row>
    <row r="29" spans="1:2">
      <c r="A29" s="361">
        <v>20</v>
      </c>
      <c r="B29" s="365" t="s">
        <v>589</v>
      </c>
    </row>
    <row r="30" spans="1:2">
      <c r="A30" s="361">
        <v>21</v>
      </c>
      <c r="B30" s="357" t="s">
        <v>607</v>
      </c>
    </row>
    <row r="31" spans="1:2">
      <c r="A31" s="361">
        <v>22</v>
      </c>
      <c r="B31" s="530" t="s">
        <v>624</v>
      </c>
    </row>
    <row r="32" spans="1:2" ht="26.25">
      <c r="A32" s="361">
        <v>23</v>
      </c>
      <c r="B32" s="530" t="s">
        <v>704</v>
      </c>
    </row>
    <row r="33" spans="1:2">
      <c r="A33" s="361">
        <v>24</v>
      </c>
      <c r="B33" s="357" t="s">
        <v>705</v>
      </c>
    </row>
    <row r="34" spans="1:2">
      <c r="A34" s="361">
        <v>25</v>
      </c>
      <c r="B34" s="357" t="s">
        <v>706</v>
      </c>
    </row>
    <row r="35" spans="1:2">
      <c r="A35" s="361">
        <v>26</v>
      </c>
      <c r="B35" s="365" t="s">
        <v>731</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B7674C52-CAC2-447F-9F91-80D1CB5F56D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5"/>
  <sheetViews>
    <sheetView zoomScaleNormal="100" workbookViewId="0">
      <pane xSplit="1" ySplit="5" topLeftCell="B6" activePane="bottomRight" state="frozen"/>
      <selection activeCell="D42" sqref="D42"/>
      <selection pane="topRight" activeCell="D42" sqref="D42"/>
      <selection pane="bottomLeft" activeCell="D42" sqref="D42"/>
      <selection pane="bottomRight" activeCell="C11" sqref="C11"/>
    </sheetView>
  </sheetViews>
  <sheetFormatPr defaultRowHeight="15"/>
  <cols>
    <col min="1" max="1" width="9.5703125" style="1" bestFit="1" customWidth="1"/>
    <col min="2" max="2" width="132.42578125" style="1" customWidth="1"/>
    <col min="3" max="3" width="18.42578125" style="1" customWidth="1"/>
  </cols>
  <sheetData>
    <row r="1" spans="1:6" ht="15.75">
      <c r="A1" s="13" t="s">
        <v>188</v>
      </c>
      <c r="B1" s="12" t="str">
        <f>Info!C2</f>
        <v>სს "კრედო ბანკი"</v>
      </c>
      <c r="D1" s="1"/>
      <c r="E1" s="1"/>
      <c r="F1" s="1"/>
    </row>
    <row r="2" spans="1:6" s="13" customFormat="1" ht="15.75" customHeight="1">
      <c r="A2" s="13" t="s">
        <v>189</v>
      </c>
      <c r="B2" s="619">
        <f>'1. key ratios'!B2</f>
        <v>44926</v>
      </c>
    </row>
    <row r="3" spans="1:6" s="13" customFormat="1" ht="15.75" customHeight="1"/>
    <row r="4" spans="1:6" ht="15.75" thickBot="1">
      <c r="A4" s="1" t="s">
        <v>335</v>
      </c>
      <c r="B4" s="50" t="s">
        <v>88</v>
      </c>
    </row>
    <row r="5" spans="1:6">
      <c r="A5" s="120" t="s">
        <v>26</v>
      </c>
      <c r="B5" s="121"/>
      <c r="C5" s="122" t="s">
        <v>27</v>
      </c>
    </row>
    <row r="6" spans="1:6">
      <c r="A6" s="123">
        <v>1</v>
      </c>
      <c r="B6" s="70" t="s">
        <v>28</v>
      </c>
      <c r="C6" s="247">
        <f>SUM(C7:C11)</f>
        <v>230116740.51999974</v>
      </c>
    </row>
    <row r="7" spans="1:6">
      <c r="A7" s="123">
        <v>2</v>
      </c>
      <c r="B7" s="67" t="s">
        <v>29</v>
      </c>
      <c r="C7" s="248">
        <v>5186820</v>
      </c>
    </row>
    <row r="8" spans="1:6">
      <c r="A8" s="123">
        <v>3</v>
      </c>
      <c r="B8" s="62" t="s">
        <v>30</v>
      </c>
      <c r="C8" s="248">
        <v>35681935.400000006</v>
      </c>
    </row>
    <row r="9" spans="1:6">
      <c r="A9" s="123">
        <v>4</v>
      </c>
      <c r="B9" s="62" t="s">
        <v>31</v>
      </c>
      <c r="C9" s="248">
        <v>396459</v>
      </c>
    </row>
    <row r="10" spans="1:6">
      <c r="A10" s="123">
        <v>5</v>
      </c>
      <c r="B10" s="62" t="s">
        <v>32</v>
      </c>
      <c r="C10" s="248"/>
    </row>
    <row r="11" spans="1:6">
      <c r="A11" s="123">
        <v>6</v>
      </c>
      <c r="B11" s="68" t="s">
        <v>33</v>
      </c>
      <c r="C11" s="647">
        <v>188851526.11999974</v>
      </c>
    </row>
    <row r="12" spans="1:6" s="2" customFormat="1">
      <c r="A12" s="123">
        <v>7</v>
      </c>
      <c r="B12" s="70" t="s">
        <v>34</v>
      </c>
      <c r="C12" s="249">
        <f>SUM(C13:C27)</f>
        <v>15450728</v>
      </c>
    </row>
    <row r="13" spans="1:6" s="2" customFormat="1">
      <c r="A13" s="123">
        <v>8</v>
      </c>
      <c r="B13" s="69" t="s">
        <v>35</v>
      </c>
      <c r="C13" s="250">
        <v>396459</v>
      </c>
    </row>
    <row r="14" spans="1:6" s="2" customFormat="1" ht="25.5">
      <c r="A14" s="123">
        <v>9</v>
      </c>
      <c r="B14" s="63" t="s">
        <v>36</v>
      </c>
      <c r="C14" s="250"/>
    </row>
    <row r="15" spans="1:6" s="2" customFormat="1">
      <c r="A15" s="123">
        <v>10</v>
      </c>
      <c r="B15" s="64" t="s">
        <v>37</v>
      </c>
      <c r="C15" s="250">
        <v>15054269</v>
      </c>
    </row>
    <row r="16" spans="1:6" s="2" customFormat="1">
      <c r="A16" s="123">
        <v>11</v>
      </c>
      <c r="B16" s="65" t="s">
        <v>38</v>
      </c>
      <c r="C16" s="250"/>
    </row>
    <row r="17" spans="1:3" s="2" customFormat="1">
      <c r="A17" s="123">
        <v>12</v>
      </c>
      <c r="B17" s="64" t="s">
        <v>39</v>
      </c>
      <c r="C17" s="250"/>
    </row>
    <row r="18" spans="1:3" s="2" customFormat="1">
      <c r="A18" s="123">
        <v>13</v>
      </c>
      <c r="B18" s="64" t="s">
        <v>40</v>
      </c>
      <c r="C18" s="250"/>
    </row>
    <row r="19" spans="1:3" s="2" customFormat="1">
      <c r="A19" s="123">
        <v>14</v>
      </c>
      <c r="B19" s="64" t="s">
        <v>41</v>
      </c>
      <c r="C19" s="250"/>
    </row>
    <row r="20" spans="1:3" s="2" customFormat="1" ht="25.5">
      <c r="A20" s="123">
        <v>15</v>
      </c>
      <c r="B20" s="64" t="s">
        <v>42</v>
      </c>
      <c r="C20" s="250"/>
    </row>
    <row r="21" spans="1:3" s="2" customFormat="1" ht="25.5">
      <c r="A21" s="123">
        <v>16</v>
      </c>
      <c r="B21" s="63" t="s">
        <v>43</v>
      </c>
      <c r="C21" s="250"/>
    </row>
    <row r="22" spans="1:3" s="2" customFormat="1">
      <c r="A22" s="123">
        <v>17</v>
      </c>
      <c r="B22" s="124" t="s">
        <v>44</v>
      </c>
      <c r="C22" s="250"/>
    </row>
    <row r="23" spans="1:3" s="2" customFormat="1" ht="25.5">
      <c r="A23" s="123">
        <v>18</v>
      </c>
      <c r="B23" s="63" t="s">
        <v>45</v>
      </c>
      <c r="C23" s="250"/>
    </row>
    <row r="24" spans="1:3" s="2" customFormat="1" ht="25.5">
      <c r="A24" s="123">
        <v>19</v>
      </c>
      <c r="B24" s="63" t="s">
        <v>46</v>
      </c>
      <c r="C24" s="250"/>
    </row>
    <row r="25" spans="1:3" s="2" customFormat="1" ht="25.5">
      <c r="A25" s="123">
        <v>20</v>
      </c>
      <c r="B25" s="65" t="s">
        <v>47</v>
      </c>
      <c r="C25" s="250"/>
    </row>
    <row r="26" spans="1:3" s="2" customFormat="1">
      <c r="A26" s="123">
        <v>21</v>
      </c>
      <c r="B26" s="65" t="s">
        <v>48</v>
      </c>
      <c r="C26" s="250"/>
    </row>
    <row r="27" spans="1:3" s="2" customFormat="1" ht="25.5">
      <c r="A27" s="123">
        <v>22</v>
      </c>
      <c r="B27" s="65" t="s">
        <v>49</v>
      </c>
      <c r="C27" s="250"/>
    </row>
    <row r="28" spans="1:3" s="2" customFormat="1">
      <c r="A28" s="123">
        <v>23</v>
      </c>
      <c r="B28" s="71" t="s">
        <v>23</v>
      </c>
      <c r="C28" s="249">
        <f>C6-C12</f>
        <v>214666012.51999974</v>
      </c>
    </row>
    <row r="29" spans="1:3" s="2" customFormat="1">
      <c r="A29" s="125"/>
      <c r="B29" s="66"/>
      <c r="C29" s="250"/>
    </row>
    <row r="30" spans="1:3" s="2" customFormat="1">
      <c r="A30" s="125">
        <v>24</v>
      </c>
      <c r="B30" s="71" t="s">
        <v>50</v>
      </c>
      <c r="C30" s="249">
        <f>C31+C34</f>
        <v>0</v>
      </c>
    </row>
    <row r="31" spans="1:3" s="2" customFormat="1">
      <c r="A31" s="125">
        <v>25</v>
      </c>
      <c r="B31" s="62" t="s">
        <v>51</v>
      </c>
      <c r="C31" s="251">
        <f>C32+C33</f>
        <v>0</v>
      </c>
    </row>
    <row r="32" spans="1:3" s="2" customFormat="1">
      <c r="A32" s="125">
        <v>26</v>
      </c>
      <c r="B32" s="162" t="s">
        <v>52</v>
      </c>
      <c r="C32" s="250"/>
    </row>
    <row r="33" spans="1:3" s="2" customFormat="1">
      <c r="A33" s="125">
        <v>27</v>
      </c>
      <c r="B33" s="162" t="s">
        <v>53</v>
      </c>
      <c r="C33" s="250"/>
    </row>
    <row r="34" spans="1:3" s="2" customFormat="1">
      <c r="A34" s="125">
        <v>28</v>
      </c>
      <c r="B34" s="62" t="s">
        <v>54</v>
      </c>
      <c r="C34" s="250"/>
    </row>
    <row r="35" spans="1:3" s="2" customFormat="1">
      <c r="A35" s="125">
        <v>29</v>
      </c>
      <c r="B35" s="71" t="s">
        <v>55</v>
      </c>
      <c r="C35" s="249">
        <f>SUM(C36:C40)</f>
        <v>0</v>
      </c>
    </row>
    <row r="36" spans="1:3" s="2" customFormat="1">
      <c r="A36" s="125">
        <v>30</v>
      </c>
      <c r="B36" s="63" t="s">
        <v>56</v>
      </c>
      <c r="C36" s="250"/>
    </row>
    <row r="37" spans="1:3" s="2" customFormat="1">
      <c r="A37" s="125">
        <v>31</v>
      </c>
      <c r="B37" s="64" t="s">
        <v>57</v>
      </c>
      <c r="C37" s="250"/>
    </row>
    <row r="38" spans="1:3" s="2" customFormat="1" ht="25.5">
      <c r="A38" s="125">
        <v>32</v>
      </c>
      <c r="B38" s="63" t="s">
        <v>58</v>
      </c>
      <c r="C38" s="250"/>
    </row>
    <row r="39" spans="1:3" s="2" customFormat="1" ht="25.5">
      <c r="A39" s="125">
        <v>33</v>
      </c>
      <c r="B39" s="63" t="s">
        <v>46</v>
      </c>
      <c r="C39" s="250"/>
    </row>
    <row r="40" spans="1:3" s="2" customFormat="1" ht="25.5">
      <c r="A40" s="125">
        <v>34</v>
      </c>
      <c r="B40" s="65" t="s">
        <v>59</v>
      </c>
      <c r="C40" s="250"/>
    </row>
    <row r="41" spans="1:3" s="2" customFormat="1">
      <c r="A41" s="125">
        <v>35</v>
      </c>
      <c r="B41" s="71" t="s">
        <v>24</v>
      </c>
      <c r="C41" s="249">
        <f>C30-C35</f>
        <v>0</v>
      </c>
    </row>
    <row r="42" spans="1:3" s="2" customFormat="1">
      <c r="A42" s="125"/>
      <c r="B42" s="66"/>
      <c r="C42" s="250"/>
    </row>
    <row r="43" spans="1:3" s="2" customFormat="1">
      <c r="A43" s="125">
        <v>36</v>
      </c>
      <c r="B43" s="72" t="s">
        <v>60</v>
      </c>
      <c r="C43" s="249">
        <f>SUM(C44:C46)</f>
        <v>87522626.241970614</v>
      </c>
    </row>
    <row r="44" spans="1:3" s="2" customFormat="1">
      <c r="A44" s="125">
        <v>37</v>
      </c>
      <c r="B44" s="62" t="s">
        <v>61</v>
      </c>
      <c r="C44" s="250">
        <v>67381040</v>
      </c>
    </row>
    <row r="45" spans="1:3" s="2" customFormat="1">
      <c r="A45" s="125">
        <v>38</v>
      </c>
      <c r="B45" s="62" t="s">
        <v>62</v>
      </c>
      <c r="C45" s="250"/>
    </row>
    <row r="46" spans="1:3" s="2" customFormat="1">
      <c r="A46" s="125">
        <v>39</v>
      </c>
      <c r="B46" s="62" t="s">
        <v>63</v>
      </c>
      <c r="C46" s="250">
        <v>20141586.241970617</v>
      </c>
    </row>
    <row r="47" spans="1:3" s="2" customFormat="1">
      <c r="A47" s="125">
        <v>40</v>
      </c>
      <c r="B47" s="72" t="s">
        <v>64</v>
      </c>
      <c r="C47" s="249">
        <f>SUM(C48:C51)</f>
        <v>0</v>
      </c>
    </row>
    <row r="48" spans="1:3" s="2" customFormat="1">
      <c r="A48" s="125">
        <v>41</v>
      </c>
      <c r="B48" s="63" t="s">
        <v>65</v>
      </c>
      <c r="C48" s="250"/>
    </row>
    <row r="49" spans="1:3" s="2" customFormat="1">
      <c r="A49" s="125">
        <v>42</v>
      </c>
      <c r="B49" s="64" t="s">
        <v>66</v>
      </c>
      <c r="C49" s="250"/>
    </row>
    <row r="50" spans="1:3" s="2" customFormat="1" ht="25.5">
      <c r="A50" s="125">
        <v>43</v>
      </c>
      <c r="B50" s="63" t="s">
        <v>67</v>
      </c>
      <c r="C50" s="250"/>
    </row>
    <row r="51" spans="1:3" s="2" customFormat="1" ht="25.5">
      <c r="A51" s="125">
        <v>44</v>
      </c>
      <c r="B51" s="63" t="s">
        <v>46</v>
      </c>
      <c r="C51" s="250"/>
    </row>
    <row r="52" spans="1:3" s="2" customFormat="1" ht="15.75" thickBot="1">
      <c r="A52" s="126">
        <v>45</v>
      </c>
      <c r="B52" s="127" t="s">
        <v>25</v>
      </c>
      <c r="C52" s="252">
        <f>C43-C47</f>
        <v>87522626.241970614</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15" sqref="C15:C17"/>
    </sheetView>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4" ht="15">
      <c r="A1" s="13" t="s">
        <v>188</v>
      </c>
      <c r="B1" s="12" t="str">
        <f>Info!C2</f>
        <v>სს "კრედო ბანკი"</v>
      </c>
    </row>
    <row r="2" spans="1:4" s="13" customFormat="1" ht="15.75" customHeight="1">
      <c r="A2" s="13" t="s">
        <v>189</v>
      </c>
      <c r="B2" s="434">
        <f>'1. key ratios'!B2</f>
        <v>44926</v>
      </c>
    </row>
    <row r="3" spans="1:4" s="13" customFormat="1" ht="15.75" customHeight="1"/>
    <row r="4" spans="1:4" ht="13.5" thickBot="1">
      <c r="A4" s="1" t="s">
        <v>396</v>
      </c>
      <c r="B4" s="346" t="s">
        <v>397</v>
      </c>
    </row>
    <row r="5" spans="1:4" s="57" customFormat="1">
      <c r="A5" s="669" t="s">
        <v>398</v>
      </c>
      <c r="B5" s="670"/>
      <c r="C5" s="336" t="s">
        <v>399</v>
      </c>
      <c r="D5" s="337" t="s">
        <v>400</v>
      </c>
    </row>
    <row r="6" spans="1:4" s="347" customFormat="1">
      <c r="A6" s="338">
        <v>1</v>
      </c>
      <c r="B6" s="339" t="s">
        <v>401</v>
      </c>
      <c r="C6" s="339"/>
      <c r="D6" s="340"/>
    </row>
    <row r="7" spans="1:4" s="347" customFormat="1">
      <c r="A7" s="341" t="s">
        <v>402</v>
      </c>
      <c r="B7" s="342" t="s">
        <v>403</v>
      </c>
      <c r="C7" s="393">
        <v>4.4999999999999998E-2</v>
      </c>
      <c r="D7" s="548">
        <f>C7*'5. RWA'!$C$13</f>
        <v>89890333.73767513</v>
      </c>
    </row>
    <row r="8" spans="1:4" s="347" customFormat="1">
      <c r="A8" s="341" t="s">
        <v>404</v>
      </c>
      <c r="B8" s="342" t="s">
        <v>405</v>
      </c>
      <c r="C8" s="394">
        <v>0.06</v>
      </c>
      <c r="D8" s="548">
        <f>C8*'5. RWA'!$C$13</f>
        <v>119853778.31690018</v>
      </c>
    </row>
    <row r="9" spans="1:4" s="347" customFormat="1">
      <c r="A9" s="341" t="s">
        <v>406</v>
      </c>
      <c r="B9" s="342" t="s">
        <v>407</v>
      </c>
      <c r="C9" s="394">
        <v>0.08</v>
      </c>
      <c r="D9" s="548">
        <f>C9*'5. RWA'!$C$13</f>
        <v>159805037.75586691</v>
      </c>
    </row>
    <row r="10" spans="1:4" s="347" customFormat="1">
      <c r="A10" s="338" t="s">
        <v>408</v>
      </c>
      <c r="B10" s="339" t="s">
        <v>409</v>
      </c>
      <c r="C10" s="395"/>
      <c r="D10" s="391"/>
    </row>
    <row r="11" spans="1:4" s="348" customFormat="1">
      <c r="A11" s="343" t="s">
        <v>410</v>
      </c>
      <c r="B11" s="344" t="s">
        <v>472</v>
      </c>
      <c r="C11" s="396">
        <v>2.5000000000000001E-2</v>
      </c>
      <c r="D11" s="549">
        <f>C11*'5. RWA'!$C$13</f>
        <v>49939074.298708409</v>
      </c>
    </row>
    <row r="12" spans="1:4" s="348" customFormat="1">
      <c r="A12" s="343" t="s">
        <v>411</v>
      </c>
      <c r="B12" s="344" t="s">
        <v>412</v>
      </c>
      <c r="C12" s="396">
        <v>0</v>
      </c>
      <c r="D12" s="549">
        <f>C12*'5. RWA'!$C$13</f>
        <v>0</v>
      </c>
    </row>
    <row r="13" spans="1:4" s="348" customFormat="1">
      <c r="A13" s="343" t="s">
        <v>413</v>
      </c>
      <c r="B13" s="344" t="s">
        <v>414</v>
      </c>
      <c r="C13" s="396">
        <v>0</v>
      </c>
      <c r="D13" s="549">
        <f>C13*'5. RWA'!$C$13</f>
        <v>0</v>
      </c>
    </row>
    <row r="14" spans="1:4" s="347" customFormat="1">
      <c r="A14" s="338" t="s">
        <v>415</v>
      </c>
      <c r="B14" s="339" t="s">
        <v>470</v>
      </c>
      <c r="C14" s="397"/>
      <c r="D14" s="391"/>
    </row>
    <row r="15" spans="1:4" s="347" customFormat="1">
      <c r="A15" s="358" t="s">
        <v>418</v>
      </c>
      <c r="B15" s="344" t="s">
        <v>471</v>
      </c>
      <c r="C15" s="396">
        <v>1.437604890563648E-2</v>
      </c>
      <c r="D15" s="549">
        <f>C15*'5. RWA'!$C$13</f>
        <v>28717062.976817835</v>
      </c>
    </row>
    <row r="16" spans="1:4" s="347" customFormat="1">
      <c r="A16" s="358" t="s">
        <v>419</v>
      </c>
      <c r="B16" s="344" t="s">
        <v>421</v>
      </c>
      <c r="C16" s="396">
        <v>1.9178636927191711E-2</v>
      </c>
      <c r="D16" s="549">
        <f>C16*'5. RWA'!$C$13</f>
        <v>38310534.978199184</v>
      </c>
    </row>
    <row r="17" spans="1:4" s="347" customFormat="1">
      <c r="A17" s="358" t="s">
        <v>420</v>
      </c>
      <c r="B17" s="344" t="s">
        <v>468</v>
      </c>
      <c r="C17" s="396">
        <v>3.1171515902922286E-2</v>
      </c>
      <c r="D17" s="549">
        <f>C17*'5. RWA'!$C$13</f>
        <v>62267065.94717627</v>
      </c>
    </row>
    <row r="18" spans="1:4" s="57" customFormat="1">
      <c r="A18" s="671" t="s">
        <v>469</v>
      </c>
      <c r="B18" s="672"/>
      <c r="C18" s="398" t="s">
        <v>399</v>
      </c>
      <c r="D18" s="392" t="s">
        <v>400</v>
      </c>
    </row>
    <row r="19" spans="1:4" s="347" customFormat="1">
      <c r="A19" s="345">
        <v>4</v>
      </c>
      <c r="B19" s="344" t="s">
        <v>23</v>
      </c>
      <c r="C19" s="396">
        <f>C7+C11+C12+C13+C15</f>
        <v>8.4376048905636492E-2</v>
      </c>
      <c r="D19" s="548">
        <f>C19*'5. RWA'!$C$13</f>
        <v>168546471.01320142</v>
      </c>
    </row>
    <row r="20" spans="1:4" s="347" customFormat="1">
      <c r="A20" s="345">
        <v>5</v>
      </c>
      <c r="B20" s="344" t="s">
        <v>89</v>
      </c>
      <c r="C20" s="396">
        <f>C8+C11+C12+C13+C16</f>
        <v>0.1041786369271917</v>
      </c>
      <c r="D20" s="548">
        <f>C20*'5. RWA'!$C$13</f>
        <v>208103387.59380776</v>
      </c>
    </row>
    <row r="21" spans="1:4" s="347" customFormat="1" ht="13.5" thickBot="1">
      <c r="A21" s="349" t="s">
        <v>416</v>
      </c>
      <c r="B21" s="350" t="s">
        <v>88</v>
      </c>
      <c r="C21" s="399">
        <f>C9+C11+C12+C13+C17</f>
        <v>0.13617151590292229</v>
      </c>
      <c r="D21" s="550">
        <f>C21*'5. RWA'!$C$13</f>
        <v>272011178.0017516</v>
      </c>
    </row>
    <row r="23" spans="1:4" ht="63.75">
      <c r="B23" s="17" t="s">
        <v>473</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Normal="100" workbookViewId="0">
      <pane xSplit="1" ySplit="5" topLeftCell="B34" activePane="bottomRight" state="frozen"/>
      <selection pane="topRight" activeCell="B1" sqref="B1"/>
      <selection pane="bottomLeft" activeCell="A5" sqref="A5"/>
      <selection pane="bottomRight" activeCell="C43" sqref="C43"/>
    </sheetView>
  </sheetViews>
  <sheetFormatPr defaultRowHeight="15.75"/>
  <cols>
    <col min="1" max="1" width="10.7109375" style="58" customWidth="1"/>
    <col min="2" max="2" width="91.85546875" style="58" customWidth="1"/>
    <col min="3" max="3" width="53.140625" style="58" customWidth="1"/>
    <col min="4" max="4" width="32.28515625" style="58" customWidth="1"/>
    <col min="5" max="5" width="9.42578125" customWidth="1"/>
  </cols>
  <sheetData>
    <row r="1" spans="1:6">
      <c r="A1" s="13" t="s">
        <v>188</v>
      </c>
      <c r="B1" s="14" t="str">
        <f>Info!C2</f>
        <v>სს "კრედო ბანკი"</v>
      </c>
      <c r="E1" s="1"/>
      <c r="F1" s="1"/>
    </row>
    <row r="2" spans="1:6" s="13" customFormat="1" ht="15.75" customHeight="1">
      <c r="A2" s="13" t="s">
        <v>189</v>
      </c>
      <c r="B2" s="434">
        <f>'1. key ratios'!B2</f>
        <v>44926</v>
      </c>
    </row>
    <row r="3" spans="1:6" s="13" customFormat="1" ht="15.75" customHeight="1">
      <c r="A3" s="20"/>
    </row>
    <row r="4" spans="1:6" s="13" customFormat="1" ht="15.75" customHeight="1" thickBot="1">
      <c r="A4" s="13" t="s">
        <v>336</v>
      </c>
      <c r="B4" s="184" t="s">
        <v>268</v>
      </c>
      <c r="D4" s="186" t="s">
        <v>93</v>
      </c>
    </row>
    <row r="5" spans="1:6" ht="38.25">
      <c r="A5" s="138" t="s">
        <v>26</v>
      </c>
      <c r="B5" s="139" t="s">
        <v>231</v>
      </c>
      <c r="C5" s="140" t="s">
        <v>236</v>
      </c>
      <c r="D5" s="185" t="s">
        <v>269</v>
      </c>
    </row>
    <row r="6" spans="1:6">
      <c r="A6" s="128">
        <v>1</v>
      </c>
      <c r="B6" s="73" t="s">
        <v>154</v>
      </c>
      <c r="C6" s="253">
        <v>78302411.729999989</v>
      </c>
      <c r="D6" s="129"/>
      <c r="E6" s="5"/>
    </row>
    <row r="7" spans="1:6">
      <c r="A7" s="128">
        <v>2</v>
      </c>
      <c r="B7" s="74" t="s">
        <v>155</v>
      </c>
      <c r="C7" s="254">
        <v>106602075.93000001</v>
      </c>
      <c r="D7" s="130"/>
      <c r="E7" s="5"/>
    </row>
    <row r="8" spans="1:6">
      <c r="A8" s="128">
        <v>3</v>
      </c>
      <c r="B8" s="74" t="s">
        <v>156</v>
      </c>
      <c r="C8" s="254">
        <v>113644774.78000002</v>
      </c>
      <c r="D8" s="130"/>
      <c r="E8" s="5"/>
    </row>
    <row r="9" spans="1:6">
      <c r="A9" s="128">
        <v>4</v>
      </c>
      <c r="B9" s="74" t="s">
        <v>185</v>
      </c>
      <c r="C9" s="254">
        <v>0</v>
      </c>
      <c r="D9" s="130"/>
      <c r="E9" s="5"/>
    </row>
    <row r="10" spans="1:6">
      <c r="A10" s="128">
        <v>5</v>
      </c>
      <c r="B10" s="74" t="s">
        <v>157</v>
      </c>
      <c r="C10" s="254">
        <v>47908709.230000004</v>
      </c>
      <c r="D10" s="130"/>
      <c r="E10" s="5"/>
    </row>
    <row r="11" spans="1:6">
      <c r="A11" s="128">
        <v>6.1</v>
      </c>
      <c r="B11" s="74" t="s">
        <v>158</v>
      </c>
      <c r="C11" s="255">
        <v>1792622194.0719001</v>
      </c>
      <c r="D11" s="131"/>
      <c r="E11" s="6"/>
    </row>
    <row r="12" spans="1:6">
      <c r="A12" s="128">
        <v>6.2</v>
      </c>
      <c r="B12" s="75" t="s">
        <v>159</v>
      </c>
      <c r="C12" s="255">
        <v>-59535081.673600011</v>
      </c>
      <c r="D12" s="131"/>
      <c r="E12" s="6"/>
    </row>
    <row r="13" spans="1:6">
      <c r="A13" s="128" t="s">
        <v>368</v>
      </c>
      <c r="B13" s="76" t="s">
        <v>369</v>
      </c>
      <c r="C13" s="255">
        <v>-33985621.839699998</v>
      </c>
      <c r="D13" s="210" t="s">
        <v>743</v>
      </c>
      <c r="E13" s="6"/>
    </row>
    <row r="14" spans="1:6">
      <c r="A14" s="128" t="s">
        <v>492</v>
      </c>
      <c r="B14" s="76" t="s">
        <v>481</v>
      </c>
      <c r="C14" s="255"/>
      <c r="D14" s="131"/>
      <c r="E14" s="6"/>
    </row>
    <row r="15" spans="1:6">
      <c r="A15" s="128">
        <v>6</v>
      </c>
      <c r="B15" s="74" t="s">
        <v>160</v>
      </c>
      <c r="C15" s="261">
        <f>C11+C12</f>
        <v>1733087112.3983002</v>
      </c>
      <c r="D15" s="131"/>
      <c r="E15" s="5"/>
    </row>
    <row r="16" spans="1:6">
      <c r="A16" s="128">
        <v>7</v>
      </c>
      <c r="B16" s="74" t="s">
        <v>161</v>
      </c>
      <c r="C16" s="254">
        <v>26243070.899999999</v>
      </c>
      <c r="D16" s="130"/>
      <c r="E16" s="5"/>
    </row>
    <row r="17" spans="1:5">
      <c r="A17" s="128">
        <v>8</v>
      </c>
      <c r="B17" s="74" t="s">
        <v>162</v>
      </c>
      <c r="C17" s="254">
        <v>2229828</v>
      </c>
      <c r="D17" s="130"/>
      <c r="E17" s="5"/>
    </row>
    <row r="18" spans="1:5">
      <c r="A18" s="128">
        <v>9</v>
      </c>
      <c r="B18" s="74" t="s">
        <v>163</v>
      </c>
      <c r="C18" s="254">
        <v>0</v>
      </c>
      <c r="D18" s="130"/>
      <c r="E18" s="5"/>
    </row>
    <row r="19" spans="1:5">
      <c r="A19" s="128">
        <v>9.1</v>
      </c>
      <c r="B19" s="76" t="s">
        <v>245</v>
      </c>
      <c r="C19" s="255"/>
      <c r="D19" s="130"/>
      <c r="E19" s="5"/>
    </row>
    <row r="20" spans="1:5">
      <c r="A20" s="128">
        <v>9.1999999999999993</v>
      </c>
      <c r="B20" s="76" t="s">
        <v>235</v>
      </c>
      <c r="C20" s="255"/>
      <c r="D20" s="130"/>
      <c r="E20" s="5"/>
    </row>
    <row r="21" spans="1:5">
      <c r="A21" s="128">
        <v>9.3000000000000007</v>
      </c>
      <c r="B21" s="76" t="s">
        <v>234</v>
      </c>
      <c r="C21" s="255"/>
      <c r="D21" s="130"/>
      <c r="E21" s="5"/>
    </row>
    <row r="22" spans="1:5">
      <c r="A22" s="128">
        <v>10</v>
      </c>
      <c r="B22" s="74" t="s">
        <v>164</v>
      </c>
      <c r="C22" s="254">
        <v>49049196.390000001</v>
      </c>
      <c r="D22" s="130"/>
      <c r="E22" s="5"/>
    </row>
    <row r="23" spans="1:5">
      <c r="A23" s="128">
        <v>10.1</v>
      </c>
      <c r="B23" s="76" t="s">
        <v>233</v>
      </c>
      <c r="C23" s="254">
        <v>15054269</v>
      </c>
      <c r="D23" s="210" t="s">
        <v>744</v>
      </c>
      <c r="E23" s="5"/>
    </row>
    <row r="24" spans="1:5">
      <c r="A24" s="128">
        <v>11</v>
      </c>
      <c r="B24" s="77" t="s">
        <v>165</v>
      </c>
      <c r="C24" s="254">
        <v>46955697.5</v>
      </c>
      <c r="D24" s="132"/>
      <c r="E24" s="5"/>
    </row>
    <row r="25" spans="1:5">
      <c r="A25" s="128">
        <v>12</v>
      </c>
      <c r="B25" s="79" t="s">
        <v>166</v>
      </c>
      <c r="C25" s="257">
        <f>SUM(C6:C10,C15:C18,C22,C24)</f>
        <v>2204022876.8583002</v>
      </c>
      <c r="D25" s="133"/>
      <c r="E25" s="4"/>
    </row>
    <row r="26" spans="1:5">
      <c r="A26" s="128">
        <v>13</v>
      </c>
      <c r="B26" s="74" t="s">
        <v>167</v>
      </c>
      <c r="C26" s="258">
        <v>0</v>
      </c>
      <c r="D26" s="134"/>
      <c r="E26" s="5"/>
    </row>
    <row r="27" spans="1:5">
      <c r="A27" s="128">
        <v>14</v>
      </c>
      <c r="B27" s="74" t="s">
        <v>168</v>
      </c>
      <c r="C27" s="254">
        <v>181931356.8931995</v>
      </c>
      <c r="D27" s="130"/>
      <c r="E27" s="5"/>
    </row>
    <row r="28" spans="1:5">
      <c r="A28" s="128">
        <v>15</v>
      </c>
      <c r="B28" s="74" t="s">
        <v>169</v>
      </c>
      <c r="C28" s="254">
        <v>43301730.540499836</v>
      </c>
      <c r="D28" s="130"/>
      <c r="E28" s="5"/>
    </row>
    <row r="29" spans="1:5">
      <c r="A29" s="128">
        <v>16</v>
      </c>
      <c r="B29" s="74" t="s">
        <v>170</v>
      </c>
      <c r="C29" s="254">
        <v>443129164.61199939</v>
      </c>
      <c r="D29" s="130"/>
      <c r="E29" s="5"/>
    </row>
    <row r="30" spans="1:5">
      <c r="A30" s="128">
        <v>17</v>
      </c>
      <c r="B30" s="74" t="s">
        <v>171</v>
      </c>
      <c r="C30" s="254">
        <v>0</v>
      </c>
      <c r="D30" s="130"/>
      <c r="E30" s="5"/>
    </row>
    <row r="31" spans="1:5">
      <c r="A31" s="128">
        <v>18</v>
      </c>
      <c r="B31" s="74" t="s">
        <v>172</v>
      </c>
      <c r="C31" s="254">
        <v>1087623866.2639136</v>
      </c>
      <c r="D31" s="130"/>
      <c r="E31" s="5"/>
    </row>
    <row r="32" spans="1:5">
      <c r="A32" s="128">
        <v>19</v>
      </c>
      <c r="B32" s="74" t="s">
        <v>173</v>
      </c>
      <c r="C32" s="254">
        <v>28787851.859999999</v>
      </c>
      <c r="D32" s="130"/>
      <c r="E32" s="5"/>
    </row>
    <row r="33" spans="1:5">
      <c r="A33" s="128">
        <v>20</v>
      </c>
      <c r="B33" s="74" t="s">
        <v>95</v>
      </c>
      <c r="C33" s="648">
        <v>105121235.90000001</v>
      </c>
      <c r="D33" s="130"/>
      <c r="E33" s="5"/>
    </row>
    <row r="34" spans="1:5">
      <c r="A34" s="534">
        <v>20.100000000000001</v>
      </c>
      <c r="B34" s="78" t="s">
        <v>715</v>
      </c>
      <c r="C34" s="256"/>
      <c r="D34" s="132"/>
      <c r="E34" s="5"/>
    </row>
    <row r="35" spans="1:5">
      <c r="A35" s="128">
        <v>21</v>
      </c>
      <c r="B35" s="77" t="s">
        <v>174</v>
      </c>
      <c r="C35" s="256">
        <v>84010930</v>
      </c>
      <c r="D35" s="132"/>
      <c r="E35" s="5"/>
    </row>
    <row r="36" spans="1:5">
      <c r="A36" s="128">
        <v>21.1</v>
      </c>
      <c r="B36" s="78" t="s">
        <v>714</v>
      </c>
      <c r="C36" s="259">
        <v>67381040</v>
      </c>
      <c r="D36" s="210" t="s">
        <v>745</v>
      </c>
      <c r="E36" s="5"/>
    </row>
    <row r="37" spans="1:5">
      <c r="A37" s="128">
        <v>22</v>
      </c>
      <c r="B37" s="79" t="s">
        <v>175</v>
      </c>
      <c r="C37" s="257">
        <f>SUM(C26:C35)</f>
        <v>1973906136.0696123</v>
      </c>
      <c r="D37" s="133"/>
      <c r="E37" s="4"/>
    </row>
    <row r="38" spans="1:5">
      <c r="A38" s="128">
        <v>23</v>
      </c>
      <c r="B38" s="77" t="s">
        <v>176</v>
      </c>
      <c r="C38" s="254">
        <v>5186820</v>
      </c>
      <c r="D38" s="210" t="s">
        <v>746</v>
      </c>
      <c r="E38" s="5"/>
    </row>
    <row r="39" spans="1:5">
      <c r="A39" s="128">
        <v>24</v>
      </c>
      <c r="B39" s="77" t="s">
        <v>177</v>
      </c>
      <c r="C39" s="254">
        <v>0</v>
      </c>
      <c r="D39" s="130"/>
      <c r="E39" s="5"/>
    </row>
    <row r="40" spans="1:5">
      <c r="A40" s="128">
        <v>25</v>
      </c>
      <c r="B40" s="77" t="s">
        <v>232</v>
      </c>
      <c r="C40" s="254">
        <v>0</v>
      </c>
      <c r="D40" s="130"/>
      <c r="E40" s="5"/>
    </row>
    <row r="41" spans="1:5">
      <c r="A41" s="128">
        <v>26</v>
      </c>
      <c r="B41" s="77" t="s">
        <v>179</v>
      </c>
      <c r="C41" s="254">
        <v>35681935.400000006</v>
      </c>
      <c r="D41" s="210" t="s">
        <v>781</v>
      </c>
      <c r="E41" s="5"/>
    </row>
    <row r="42" spans="1:5">
      <c r="A42" s="128">
        <v>27</v>
      </c>
      <c r="B42" s="77" t="s">
        <v>180</v>
      </c>
      <c r="C42" s="254">
        <v>0</v>
      </c>
      <c r="D42" s="130"/>
      <c r="E42" s="5"/>
    </row>
    <row r="43" spans="1:5">
      <c r="A43" s="128">
        <v>28</v>
      </c>
      <c r="B43" s="77" t="s">
        <v>181</v>
      </c>
      <c r="C43" s="648">
        <v>188851526.11999974</v>
      </c>
      <c r="D43" s="210" t="s">
        <v>747</v>
      </c>
      <c r="E43" s="5"/>
    </row>
    <row r="44" spans="1:5">
      <c r="A44" s="128">
        <v>29</v>
      </c>
      <c r="B44" s="77" t="s">
        <v>35</v>
      </c>
      <c r="C44" s="254">
        <v>396459</v>
      </c>
      <c r="D44" s="210" t="s">
        <v>748</v>
      </c>
      <c r="E44" s="5"/>
    </row>
    <row r="45" spans="1:5" ht="16.5" thickBot="1">
      <c r="A45" s="135">
        <v>30</v>
      </c>
      <c r="B45" s="136" t="s">
        <v>182</v>
      </c>
      <c r="C45" s="260">
        <f>SUM(C38:C44)</f>
        <v>230116740.51999974</v>
      </c>
      <c r="D45" s="137"/>
      <c r="E45" s="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6"/>
  <sheetViews>
    <sheetView zoomScale="75" zoomScaleNormal="75" workbookViewId="0">
      <pane xSplit="2" ySplit="7" topLeftCell="D17" activePane="bottomRight" state="frozen"/>
      <selection pane="topRight" activeCell="C1" sqref="C1"/>
      <selection pane="bottomLeft" activeCell="A8" sqref="A8"/>
      <selection pane="bottomRight" activeCell="S8" sqref="S8:S21"/>
    </sheetView>
  </sheetViews>
  <sheetFormatPr defaultColWidth="9.140625" defaultRowHeight="12.75"/>
  <cols>
    <col min="1" max="1" width="10.5703125" style="1" bestFit="1" customWidth="1"/>
    <col min="2" max="2" width="27.28515625" style="1" customWidth="1"/>
    <col min="3" max="3" width="11.28515625" style="1" bestFit="1" customWidth="1"/>
    <col min="4" max="4" width="13.28515625" style="1" bestFit="1" customWidth="1"/>
    <col min="5" max="5" width="10.28515625" style="1" bestFit="1" customWidth="1"/>
    <col min="6" max="6" width="13.28515625" style="1" bestFit="1" customWidth="1"/>
    <col min="7" max="7" width="9.42578125" style="1" bestFit="1" customWidth="1"/>
    <col min="8" max="8" width="13.28515625" style="1" bestFit="1" customWidth="1"/>
    <col min="9" max="9" width="10.28515625" style="1" bestFit="1" customWidth="1"/>
    <col min="10" max="10" width="13.28515625" style="1" bestFit="1" customWidth="1"/>
    <col min="11" max="11" width="12.7109375" style="1" bestFit="1" customWidth="1"/>
    <col min="12" max="12" width="13.28515625" style="1" bestFit="1" customWidth="1"/>
    <col min="13" max="13" width="11.28515625" style="1" bestFit="1" customWidth="1"/>
    <col min="14" max="14" width="13.28515625" style="1" bestFit="1" customWidth="1"/>
    <col min="15" max="15" width="10.7109375" style="1" bestFit="1" customWidth="1"/>
    <col min="16" max="16" width="13.28515625" style="1" bestFit="1" customWidth="1"/>
    <col min="17" max="17" width="10.28515625" style="1" bestFit="1" customWidth="1"/>
    <col min="18" max="18" width="13.28515625" style="1" bestFit="1" customWidth="1"/>
    <col min="19" max="19" width="31.5703125" style="1" bestFit="1" customWidth="1"/>
    <col min="20" max="16384" width="9.140625" style="9"/>
  </cols>
  <sheetData>
    <row r="1" spans="1:19">
      <c r="A1" s="1" t="s">
        <v>188</v>
      </c>
      <c r="B1" s="1" t="str">
        <f>Info!C2</f>
        <v>სს "კრედო ბანკი"</v>
      </c>
    </row>
    <row r="2" spans="1:19">
      <c r="A2" s="1" t="s">
        <v>189</v>
      </c>
      <c r="B2" s="434">
        <f>'1. key ratios'!B2</f>
        <v>44926</v>
      </c>
    </row>
    <row r="4" spans="1:19" ht="102.75" thickBot="1">
      <c r="A4" s="57" t="s">
        <v>337</v>
      </c>
      <c r="B4" s="285" t="s">
        <v>358</v>
      </c>
    </row>
    <row r="5" spans="1:19">
      <c r="A5" s="117"/>
      <c r="B5" s="119"/>
      <c r="C5" s="103" t="s">
        <v>0</v>
      </c>
      <c r="D5" s="103" t="s">
        <v>1</v>
      </c>
      <c r="E5" s="103" t="s">
        <v>2</v>
      </c>
      <c r="F5" s="103" t="s">
        <v>3</v>
      </c>
      <c r="G5" s="103" t="s">
        <v>4</v>
      </c>
      <c r="H5" s="103" t="s">
        <v>5</v>
      </c>
      <c r="I5" s="103" t="s">
        <v>237</v>
      </c>
      <c r="J5" s="103" t="s">
        <v>238</v>
      </c>
      <c r="K5" s="103" t="s">
        <v>239</v>
      </c>
      <c r="L5" s="103" t="s">
        <v>240</v>
      </c>
      <c r="M5" s="103" t="s">
        <v>241</v>
      </c>
      <c r="N5" s="103" t="s">
        <v>242</v>
      </c>
      <c r="O5" s="103" t="s">
        <v>345</v>
      </c>
      <c r="P5" s="103" t="s">
        <v>346</v>
      </c>
      <c r="Q5" s="103" t="s">
        <v>347</v>
      </c>
      <c r="R5" s="278" t="s">
        <v>348</v>
      </c>
      <c r="S5" s="104" t="s">
        <v>349</v>
      </c>
    </row>
    <row r="6" spans="1:19" ht="46.5" customHeight="1">
      <c r="A6" s="141"/>
      <c r="B6" s="677" t="s">
        <v>350</v>
      </c>
      <c r="C6" s="675">
        <v>0</v>
      </c>
      <c r="D6" s="676"/>
      <c r="E6" s="675">
        <v>0.2</v>
      </c>
      <c r="F6" s="676"/>
      <c r="G6" s="675">
        <v>0.35</v>
      </c>
      <c r="H6" s="676"/>
      <c r="I6" s="675">
        <v>0.5</v>
      </c>
      <c r="J6" s="676"/>
      <c r="K6" s="675">
        <v>0.75</v>
      </c>
      <c r="L6" s="676"/>
      <c r="M6" s="675">
        <v>1</v>
      </c>
      <c r="N6" s="676"/>
      <c r="O6" s="675">
        <v>1.5</v>
      </c>
      <c r="P6" s="676"/>
      <c r="Q6" s="675">
        <v>2.5</v>
      </c>
      <c r="R6" s="676"/>
      <c r="S6" s="673" t="s">
        <v>250</v>
      </c>
    </row>
    <row r="7" spans="1:19">
      <c r="A7" s="141"/>
      <c r="B7" s="678"/>
      <c r="C7" s="284" t="s">
        <v>343</v>
      </c>
      <c r="D7" s="284" t="s">
        <v>344</v>
      </c>
      <c r="E7" s="284" t="s">
        <v>343</v>
      </c>
      <c r="F7" s="284" t="s">
        <v>344</v>
      </c>
      <c r="G7" s="284" t="s">
        <v>343</v>
      </c>
      <c r="H7" s="284" t="s">
        <v>344</v>
      </c>
      <c r="I7" s="284" t="s">
        <v>343</v>
      </c>
      <c r="J7" s="284" t="s">
        <v>344</v>
      </c>
      <c r="K7" s="284" t="s">
        <v>343</v>
      </c>
      <c r="L7" s="284" t="s">
        <v>344</v>
      </c>
      <c r="M7" s="284" t="s">
        <v>343</v>
      </c>
      <c r="N7" s="284" t="s">
        <v>344</v>
      </c>
      <c r="O7" s="284" t="s">
        <v>343</v>
      </c>
      <c r="P7" s="284" t="s">
        <v>344</v>
      </c>
      <c r="Q7" s="284" t="s">
        <v>343</v>
      </c>
      <c r="R7" s="284" t="s">
        <v>344</v>
      </c>
      <c r="S7" s="674"/>
    </row>
    <row r="8" spans="1:19" ht="63.75">
      <c r="A8" s="107">
        <v>1</v>
      </c>
      <c r="B8" s="63" t="s">
        <v>216</v>
      </c>
      <c r="C8" s="620">
        <v>98052009.910000011</v>
      </c>
      <c r="D8" s="620"/>
      <c r="E8" s="620"/>
      <c r="F8" s="621"/>
      <c r="G8" s="620"/>
      <c r="H8" s="620"/>
      <c r="I8" s="620"/>
      <c r="J8" s="620"/>
      <c r="K8" s="620"/>
      <c r="L8" s="620"/>
      <c r="M8" s="620">
        <v>31350815.68</v>
      </c>
      <c r="N8" s="620"/>
      <c r="O8" s="620"/>
      <c r="P8" s="620"/>
      <c r="Q8" s="620"/>
      <c r="R8" s="621"/>
      <c r="S8" s="287">
        <f>$C$6*SUM(C8:D8)+$E$6*SUM(E8:F8)+$G$6*SUM(G8:H8)+$I$6*SUM(I8:J8)+$K$6*SUM(K8:L8)+$M$6*SUM(M8:N8)+$O$6*SUM(O8:P8)+$Q$6*SUM(Q8:R8)</f>
        <v>31350815.68</v>
      </c>
    </row>
    <row r="9" spans="1:19" ht="76.5">
      <c r="A9" s="107">
        <v>2</v>
      </c>
      <c r="B9" s="63" t="s">
        <v>217</v>
      </c>
      <c r="C9" s="622"/>
      <c r="D9" s="620"/>
      <c r="E9" s="620"/>
      <c r="F9" s="620"/>
      <c r="G9" s="620"/>
      <c r="H9" s="620"/>
      <c r="I9" s="620"/>
      <c r="J9" s="620"/>
      <c r="K9" s="620"/>
      <c r="L9" s="620"/>
      <c r="M9" s="620"/>
      <c r="N9" s="620"/>
      <c r="O9" s="620"/>
      <c r="P9" s="620"/>
      <c r="Q9" s="620"/>
      <c r="R9" s="621"/>
      <c r="S9" s="287">
        <f t="shared" ref="S9:S21" si="0">$C$6*SUM(C9:D9)+$E$6*SUM(E9:F9)+$G$6*SUM(G9:H9)+$I$6*SUM(I9:J9)+$K$6*SUM(K9:L9)+$M$6*SUM(M9:N9)+$O$6*SUM(O9:P9)+$Q$6*SUM(Q9:R9)</f>
        <v>0</v>
      </c>
    </row>
    <row r="10" spans="1:19" ht="38.25">
      <c r="A10" s="107">
        <v>3</v>
      </c>
      <c r="B10" s="63" t="s">
        <v>218</v>
      </c>
      <c r="C10" s="620">
        <v>26142344.66</v>
      </c>
      <c r="D10" s="620"/>
      <c r="E10" s="620"/>
      <c r="F10" s="620"/>
      <c r="G10" s="620"/>
      <c r="H10" s="620"/>
      <c r="I10" s="620"/>
      <c r="J10" s="620"/>
      <c r="K10" s="620"/>
      <c r="L10" s="620"/>
      <c r="M10" s="620"/>
      <c r="N10" s="620"/>
      <c r="O10" s="620"/>
      <c r="P10" s="620"/>
      <c r="Q10" s="620"/>
      <c r="R10" s="621"/>
      <c r="S10" s="287">
        <f t="shared" si="0"/>
        <v>0</v>
      </c>
    </row>
    <row r="11" spans="1:19" ht="51">
      <c r="A11" s="107">
        <v>4</v>
      </c>
      <c r="B11" s="63" t="s">
        <v>219</v>
      </c>
      <c r="C11" s="620"/>
      <c r="D11" s="620"/>
      <c r="E11" s="620"/>
      <c r="F11" s="620"/>
      <c r="G11" s="620"/>
      <c r="H11" s="620"/>
      <c r="I11" s="620"/>
      <c r="J11" s="620"/>
      <c r="K11" s="620"/>
      <c r="L11" s="620"/>
      <c r="M11" s="620"/>
      <c r="N11" s="620"/>
      <c r="O11" s="620"/>
      <c r="P11" s="620"/>
      <c r="Q11" s="620"/>
      <c r="R11" s="621"/>
      <c r="S11" s="287">
        <f t="shared" si="0"/>
        <v>0</v>
      </c>
    </row>
    <row r="12" spans="1:19" ht="38.25">
      <c r="A12" s="107">
        <v>5</v>
      </c>
      <c r="B12" s="63" t="s">
        <v>220</v>
      </c>
      <c r="C12" s="620"/>
      <c r="D12" s="620"/>
      <c r="E12" s="620"/>
      <c r="F12" s="620"/>
      <c r="G12" s="620"/>
      <c r="H12" s="620"/>
      <c r="I12" s="620"/>
      <c r="J12" s="620"/>
      <c r="K12" s="620"/>
      <c r="L12" s="620"/>
      <c r="M12" s="620"/>
      <c r="N12" s="620"/>
      <c r="O12" s="620"/>
      <c r="P12" s="620"/>
      <c r="Q12" s="620"/>
      <c r="R12" s="621"/>
      <c r="S12" s="287">
        <f t="shared" si="0"/>
        <v>0</v>
      </c>
    </row>
    <row r="13" spans="1:19" ht="38.25">
      <c r="A13" s="107">
        <v>6</v>
      </c>
      <c r="B13" s="63" t="s">
        <v>221</v>
      </c>
      <c r="C13" s="620"/>
      <c r="D13" s="620"/>
      <c r="E13" s="620">
        <v>3629284.14</v>
      </c>
      <c r="F13" s="620"/>
      <c r="G13" s="620"/>
      <c r="H13" s="620"/>
      <c r="I13" s="620">
        <v>110191486.87</v>
      </c>
      <c r="J13" s="620"/>
      <c r="K13" s="620"/>
      <c r="L13" s="620"/>
      <c r="M13" s="620">
        <v>13447.310000000001</v>
      </c>
      <c r="N13" s="620"/>
      <c r="O13" s="620"/>
      <c r="P13" s="620"/>
      <c r="Q13" s="620"/>
      <c r="R13" s="621"/>
      <c r="S13" s="287">
        <f t="shared" si="0"/>
        <v>55835047.573000006</v>
      </c>
    </row>
    <row r="14" spans="1:19" ht="38.25">
      <c r="A14" s="107">
        <v>7</v>
      </c>
      <c r="B14" s="63" t="s">
        <v>73</v>
      </c>
      <c r="C14" s="620"/>
      <c r="D14" s="620"/>
      <c r="E14" s="620"/>
      <c r="F14" s="620"/>
      <c r="G14" s="620"/>
      <c r="H14" s="620"/>
      <c r="I14" s="620"/>
      <c r="J14" s="620"/>
      <c r="K14" s="620"/>
      <c r="L14" s="620"/>
      <c r="M14" s="620">
        <v>27220152.408319999</v>
      </c>
      <c r="N14" s="620">
        <v>3777705.5</v>
      </c>
      <c r="O14" s="620"/>
      <c r="P14" s="620"/>
      <c r="Q14" s="620"/>
      <c r="R14" s="621"/>
      <c r="S14" s="287">
        <f t="shared" si="0"/>
        <v>30997857.908319999</v>
      </c>
    </row>
    <row r="15" spans="1:19" ht="25.5">
      <c r="A15" s="107">
        <v>8</v>
      </c>
      <c r="B15" s="63" t="s">
        <v>74</v>
      </c>
      <c r="C15" s="620"/>
      <c r="D15" s="620"/>
      <c r="E15" s="620"/>
      <c r="F15" s="620"/>
      <c r="G15" s="620"/>
      <c r="H15" s="620"/>
      <c r="I15" s="620"/>
      <c r="J15" s="620"/>
      <c r="K15" s="620">
        <v>1581276506.876724</v>
      </c>
      <c r="L15" s="620">
        <v>16391542</v>
      </c>
      <c r="M15" s="620"/>
      <c r="N15" s="620"/>
      <c r="O15" s="620"/>
      <c r="P15" s="620"/>
      <c r="Q15" s="620"/>
      <c r="R15" s="621"/>
      <c r="S15" s="287">
        <f t="shared" si="0"/>
        <v>1198251036.6575429</v>
      </c>
    </row>
    <row r="16" spans="1:19" ht="63.75">
      <c r="A16" s="107">
        <v>9</v>
      </c>
      <c r="B16" s="63" t="s">
        <v>75</v>
      </c>
      <c r="C16" s="620"/>
      <c r="D16" s="620"/>
      <c r="E16" s="620"/>
      <c r="F16" s="620"/>
      <c r="G16" s="620"/>
      <c r="H16" s="620"/>
      <c r="I16" s="620"/>
      <c r="J16" s="620"/>
      <c r="K16" s="620"/>
      <c r="L16" s="620"/>
      <c r="M16" s="620"/>
      <c r="N16" s="620"/>
      <c r="O16" s="620"/>
      <c r="P16" s="620"/>
      <c r="Q16" s="620"/>
      <c r="R16" s="621"/>
      <c r="S16" s="287">
        <f t="shared" si="0"/>
        <v>0</v>
      </c>
    </row>
    <row r="17" spans="1:19" ht="25.5">
      <c r="A17" s="107">
        <v>10</v>
      </c>
      <c r="B17" s="63" t="s">
        <v>69</v>
      </c>
      <c r="C17" s="620"/>
      <c r="D17" s="620"/>
      <c r="E17" s="620"/>
      <c r="F17" s="620"/>
      <c r="G17" s="620"/>
      <c r="H17" s="620"/>
      <c r="I17" s="620"/>
      <c r="J17" s="620"/>
      <c r="K17" s="620"/>
      <c r="L17" s="620"/>
      <c r="M17" s="620">
        <v>5652433.1759999739</v>
      </c>
      <c r="N17" s="620"/>
      <c r="O17" s="620">
        <v>2278510.7646000003</v>
      </c>
      <c r="P17" s="620"/>
      <c r="Q17" s="620"/>
      <c r="R17" s="621"/>
      <c r="S17" s="287">
        <f t="shared" si="0"/>
        <v>9070199.3228999749</v>
      </c>
    </row>
    <row r="18" spans="1:19" ht="38.25">
      <c r="A18" s="107">
        <v>11</v>
      </c>
      <c r="B18" s="63" t="s">
        <v>70</v>
      </c>
      <c r="C18" s="620"/>
      <c r="D18" s="620"/>
      <c r="E18" s="620"/>
      <c r="F18" s="620"/>
      <c r="G18" s="620"/>
      <c r="H18" s="620"/>
      <c r="I18" s="620"/>
      <c r="J18" s="620"/>
      <c r="K18" s="620"/>
      <c r="L18" s="620"/>
      <c r="M18" s="620">
        <v>128548368.47803636</v>
      </c>
      <c r="N18" s="620"/>
      <c r="O18" s="620">
        <v>47115550.471899971</v>
      </c>
      <c r="P18" s="620"/>
      <c r="Q18" s="620"/>
      <c r="R18" s="621"/>
      <c r="S18" s="287">
        <f t="shared" si="0"/>
        <v>199221694.18588632</v>
      </c>
    </row>
    <row r="19" spans="1:19" ht="38.25">
      <c r="A19" s="107">
        <v>12</v>
      </c>
      <c r="B19" s="63" t="s">
        <v>71</v>
      </c>
      <c r="C19" s="620"/>
      <c r="D19" s="620"/>
      <c r="E19" s="620"/>
      <c r="F19" s="620"/>
      <c r="G19" s="620"/>
      <c r="H19" s="620"/>
      <c r="I19" s="620"/>
      <c r="J19" s="620"/>
      <c r="K19" s="620"/>
      <c r="L19" s="620"/>
      <c r="M19" s="620"/>
      <c r="N19" s="620"/>
      <c r="O19" s="620"/>
      <c r="P19" s="620"/>
      <c r="Q19" s="620"/>
      <c r="R19" s="621"/>
      <c r="S19" s="287">
        <f t="shared" si="0"/>
        <v>0</v>
      </c>
    </row>
    <row r="20" spans="1:19" ht="25.5">
      <c r="A20" s="107">
        <v>13</v>
      </c>
      <c r="B20" s="63" t="s">
        <v>72</v>
      </c>
      <c r="C20" s="620"/>
      <c r="D20" s="620"/>
      <c r="E20" s="620"/>
      <c r="F20" s="620"/>
      <c r="G20" s="620"/>
      <c r="H20" s="620"/>
      <c r="I20" s="620"/>
      <c r="J20" s="620"/>
      <c r="K20" s="620"/>
      <c r="L20" s="620"/>
      <c r="M20" s="620"/>
      <c r="N20" s="620"/>
      <c r="O20" s="620"/>
      <c r="P20" s="620"/>
      <c r="Q20" s="620"/>
      <c r="R20" s="621"/>
      <c r="S20" s="287">
        <f t="shared" si="0"/>
        <v>0</v>
      </c>
    </row>
    <row r="21" spans="1:19">
      <c r="A21" s="107">
        <v>14</v>
      </c>
      <c r="B21" s="63" t="s">
        <v>248</v>
      </c>
      <c r="C21" s="620">
        <v>78302411.729999989</v>
      </c>
      <c r="D21" s="620"/>
      <c r="E21" s="620"/>
      <c r="F21" s="620"/>
      <c r="G21" s="620"/>
      <c r="H21" s="620"/>
      <c r="I21" s="620"/>
      <c r="J21" s="620"/>
      <c r="K21" s="620"/>
      <c r="L21" s="620"/>
      <c r="M21" s="620">
        <v>83180906.909999996</v>
      </c>
      <c r="N21" s="620"/>
      <c r="O21" s="620"/>
      <c r="P21" s="620"/>
      <c r="Q21" s="620"/>
      <c r="R21" s="621"/>
      <c r="S21" s="287">
        <f t="shared" si="0"/>
        <v>83180906.909999996</v>
      </c>
    </row>
    <row r="22" spans="1:19" ht="13.5" thickBot="1">
      <c r="A22" s="90"/>
      <c r="B22" s="146" t="s">
        <v>68</v>
      </c>
      <c r="C22" s="623">
        <f>SUM(C8:C21)</f>
        <v>202496766.30000001</v>
      </c>
      <c r="D22" s="623">
        <f t="shared" ref="D22:S22" si="1">SUM(D8:D21)</f>
        <v>0</v>
      </c>
      <c r="E22" s="623">
        <f t="shared" si="1"/>
        <v>3629284.14</v>
      </c>
      <c r="F22" s="623">
        <f t="shared" si="1"/>
        <v>0</v>
      </c>
      <c r="G22" s="623">
        <f t="shared" si="1"/>
        <v>0</v>
      </c>
      <c r="H22" s="623">
        <f t="shared" si="1"/>
        <v>0</v>
      </c>
      <c r="I22" s="623">
        <f t="shared" si="1"/>
        <v>110191486.87</v>
      </c>
      <c r="J22" s="623">
        <f t="shared" si="1"/>
        <v>0</v>
      </c>
      <c r="K22" s="623">
        <f t="shared" si="1"/>
        <v>1581276506.876724</v>
      </c>
      <c r="L22" s="623">
        <f t="shared" si="1"/>
        <v>16391542</v>
      </c>
      <c r="M22" s="623">
        <f t="shared" si="1"/>
        <v>275966123.96235633</v>
      </c>
      <c r="N22" s="623">
        <f t="shared" si="1"/>
        <v>3777705.5</v>
      </c>
      <c r="O22" s="623">
        <f t="shared" si="1"/>
        <v>49394061.236499973</v>
      </c>
      <c r="P22" s="623">
        <f t="shared" si="1"/>
        <v>0</v>
      </c>
      <c r="Q22" s="623">
        <f t="shared" si="1"/>
        <v>0</v>
      </c>
      <c r="R22" s="623">
        <f t="shared" si="1"/>
        <v>0</v>
      </c>
      <c r="S22" s="551">
        <f t="shared" si="1"/>
        <v>1607907558.2376494</v>
      </c>
    </row>
    <row r="24" spans="1:19">
      <c r="S24" s="617"/>
    </row>
    <row r="26" spans="1:19">
      <c r="S26" s="617"/>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T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9"/>
  </cols>
  <sheetData>
    <row r="1" spans="1:22">
      <c r="A1" s="1" t="s">
        <v>188</v>
      </c>
      <c r="B1" s="1" t="str">
        <f>Info!C2</f>
        <v>სს "კრედო ბანკი"</v>
      </c>
    </row>
    <row r="2" spans="1:22">
      <c r="A2" s="1" t="s">
        <v>189</v>
      </c>
      <c r="B2" s="434">
        <f>'1. key ratios'!B2</f>
        <v>44926</v>
      </c>
    </row>
    <row r="4" spans="1:22" ht="27.75" thickBot="1">
      <c r="A4" s="1" t="s">
        <v>338</v>
      </c>
      <c r="B4" s="285" t="s">
        <v>359</v>
      </c>
      <c r="V4" s="186" t="s">
        <v>93</v>
      </c>
    </row>
    <row r="5" spans="1:22">
      <c r="A5" s="88"/>
      <c r="B5" s="89"/>
      <c r="C5" s="679" t="s">
        <v>198</v>
      </c>
      <c r="D5" s="680"/>
      <c r="E5" s="680"/>
      <c r="F5" s="680"/>
      <c r="G5" s="680"/>
      <c r="H5" s="680"/>
      <c r="I5" s="680"/>
      <c r="J5" s="680"/>
      <c r="K5" s="680"/>
      <c r="L5" s="681"/>
      <c r="M5" s="679" t="s">
        <v>199</v>
      </c>
      <c r="N5" s="680"/>
      <c r="O5" s="680"/>
      <c r="P5" s="680"/>
      <c r="Q5" s="680"/>
      <c r="R5" s="680"/>
      <c r="S5" s="681"/>
      <c r="T5" s="684" t="s">
        <v>357</v>
      </c>
      <c r="U5" s="684" t="s">
        <v>356</v>
      </c>
      <c r="V5" s="682" t="s">
        <v>200</v>
      </c>
    </row>
    <row r="6" spans="1:22" s="57" customFormat="1" ht="140.25">
      <c r="A6" s="105"/>
      <c r="B6" s="163"/>
      <c r="C6" s="86" t="s">
        <v>201</v>
      </c>
      <c r="D6" s="85" t="s">
        <v>202</v>
      </c>
      <c r="E6" s="83" t="s">
        <v>203</v>
      </c>
      <c r="F6" s="83" t="s">
        <v>351</v>
      </c>
      <c r="G6" s="85" t="s">
        <v>204</v>
      </c>
      <c r="H6" s="85" t="s">
        <v>205</v>
      </c>
      <c r="I6" s="85" t="s">
        <v>206</v>
      </c>
      <c r="J6" s="85" t="s">
        <v>247</v>
      </c>
      <c r="K6" s="85" t="s">
        <v>207</v>
      </c>
      <c r="L6" s="87" t="s">
        <v>208</v>
      </c>
      <c r="M6" s="86" t="s">
        <v>209</v>
      </c>
      <c r="N6" s="85" t="s">
        <v>210</v>
      </c>
      <c r="O6" s="85" t="s">
        <v>211</v>
      </c>
      <c r="P6" s="85" t="s">
        <v>212</v>
      </c>
      <c r="Q6" s="85" t="s">
        <v>213</v>
      </c>
      <c r="R6" s="85" t="s">
        <v>214</v>
      </c>
      <c r="S6" s="87" t="s">
        <v>215</v>
      </c>
      <c r="T6" s="685"/>
      <c r="U6" s="685"/>
      <c r="V6" s="683"/>
    </row>
    <row r="7" spans="1:22">
      <c r="A7" s="145">
        <v>1</v>
      </c>
      <c r="B7" s="144" t="s">
        <v>216</v>
      </c>
      <c r="C7" s="264"/>
      <c r="D7" s="262"/>
      <c r="E7" s="262"/>
      <c r="F7" s="262"/>
      <c r="G7" s="262"/>
      <c r="H7" s="262"/>
      <c r="I7" s="262"/>
      <c r="J7" s="262"/>
      <c r="K7" s="262"/>
      <c r="L7" s="265"/>
      <c r="M7" s="264"/>
      <c r="N7" s="262"/>
      <c r="O7" s="262"/>
      <c r="P7" s="262"/>
      <c r="Q7" s="262"/>
      <c r="R7" s="262"/>
      <c r="S7" s="265"/>
      <c r="T7" s="282"/>
      <c r="U7" s="281"/>
      <c r="V7" s="266">
        <f>SUM(C7:S7)</f>
        <v>0</v>
      </c>
    </row>
    <row r="8" spans="1:22">
      <c r="A8" s="145">
        <v>2</v>
      </c>
      <c r="B8" s="144" t="s">
        <v>217</v>
      </c>
      <c r="C8" s="264"/>
      <c r="D8" s="262"/>
      <c r="E8" s="262"/>
      <c r="F8" s="262"/>
      <c r="G8" s="262"/>
      <c r="H8" s="262"/>
      <c r="I8" s="262"/>
      <c r="J8" s="262"/>
      <c r="K8" s="262"/>
      <c r="L8" s="265"/>
      <c r="M8" s="264"/>
      <c r="N8" s="262"/>
      <c r="O8" s="262"/>
      <c r="P8" s="262"/>
      <c r="Q8" s="262"/>
      <c r="R8" s="262"/>
      <c r="S8" s="265"/>
      <c r="T8" s="281"/>
      <c r="U8" s="281"/>
      <c r="V8" s="266">
        <f t="shared" ref="V8:V20" si="0">SUM(C8:S8)</f>
        <v>0</v>
      </c>
    </row>
    <row r="9" spans="1:22">
      <c r="A9" s="145">
        <v>3</v>
      </c>
      <c r="B9" s="144" t="s">
        <v>218</v>
      </c>
      <c r="C9" s="264"/>
      <c r="D9" s="262"/>
      <c r="E9" s="262"/>
      <c r="F9" s="262"/>
      <c r="G9" s="262"/>
      <c r="H9" s="262"/>
      <c r="I9" s="262"/>
      <c r="J9" s="262"/>
      <c r="K9" s="262"/>
      <c r="L9" s="265"/>
      <c r="M9" s="264"/>
      <c r="N9" s="262"/>
      <c r="O9" s="262"/>
      <c r="P9" s="262"/>
      <c r="Q9" s="262"/>
      <c r="R9" s="262"/>
      <c r="S9" s="265"/>
      <c r="T9" s="281"/>
      <c r="U9" s="281"/>
      <c r="V9" s="266">
        <f>SUM(C9:S9)</f>
        <v>0</v>
      </c>
    </row>
    <row r="10" spans="1:22">
      <c r="A10" s="145">
        <v>4</v>
      </c>
      <c r="B10" s="144" t="s">
        <v>219</v>
      </c>
      <c r="C10" s="264"/>
      <c r="D10" s="262"/>
      <c r="E10" s="262"/>
      <c r="F10" s="262"/>
      <c r="G10" s="262"/>
      <c r="H10" s="262"/>
      <c r="I10" s="262"/>
      <c r="J10" s="262"/>
      <c r="K10" s="262"/>
      <c r="L10" s="265"/>
      <c r="M10" s="264"/>
      <c r="N10" s="262"/>
      <c r="O10" s="262"/>
      <c r="P10" s="262"/>
      <c r="Q10" s="262"/>
      <c r="R10" s="262"/>
      <c r="S10" s="265"/>
      <c r="T10" s="281"/>
      <c r="U10" s="281"/>
      <c r="V10" s="266">
        <f t="shared" si="0"/>
        <v>0</v>
      </c>
    </row>
    <row r="11" spans="1:22">
      <c r="A11" s="145">
        <v>5</v>
      </c>
      <c r="B11" s="144" t="s">
        <v>220</v>
      </c>
      <c r="C11" s="264"/>
      <c r="D11" s="262"/>
      <c r="E11" s="262"/>
      <c r="F11" s="262"/>
      <c r="G11" s="262"/>
      <c r="H11" s="262"/>
      <c r="I11" s="262"/>
      <c r="J11" s="262"/>
      <c r="K11" s="262"/>
      <c r="L11" s="265"/>
      <c r="M11" s="264"/>
      <c r="N11" s="262"/>
      <c r="O11" s="262"/>
      <c r="P11" s="262"/>
      <c r="Q11" s="262"/>
      <c r="R11" s="262"/>
      <c r="S11" s="265"/>
      <c r="T11" s="281"/>
      <c r="U11" s="281"/>
      <c r="V11" s="266">
        <f t="shared" si="0"/>
        <v>0</v>
      </c>
    </row>
    <row r="12" spans="1:22">
      <c r="A12" s="145">
        <v>6</v>
      </c>
      <c r="B12" s="144" t="s">
        <v>221</v>
      </c>
      <c r="C12" s="264"/>
      <c r="D12" s="262"/>
      <c r="E12" s="262"/>
      <c r="F12" s="262"/>
      <c r="G12" s="262"/>
      <c r="H12" s="262"/>
      <c r="I12" s="262"/>
      <c r="J12" s="262"/>
      <c r="K12" s="262"/>
      <c r="L12" s="265"/>
      <c r="M12" s="264"/>
      <c r="N12" s="262"/>
      <c r="O12" s="262"/>
      <c r="P12" s="262"/>
      <c r="Q12" s="262"/>
      <c r="R12" s="262"/>
      <c r="S12" s="265"/>
      <c r="T12" s="281"/>
      <c r="U12" s="281"/>
      <c r="V12" s="266">
        <f t="shared" si="0"/>
        <v>0</v>
      </c>
    </row>
    <row r="13" spans="1:22">
      <c r="A13" s="145">
        <v>7</v>
      </c>
      <c r="B13" s="144" t="s">
        <v>73</v>
      </c>
      <c r="C13" s="264"/>
      <c r="D13" s="262"/>
      <c r="E13" s="262"/>
      <c r="F13" s="262"/>
      <c r="G13" s="262"/>
      <c r="H13" s="262"/>
      <c r="I13" s="262"/>
      <c r="J13" s="262"/>
      <c r="K13" s="262"/>
      <c r="L13" s="265"/>
      <c r="M13" s="264"/>
      <c r="N13" s="262"/>
      <c r="O13" s="262"/>
      <c r="P13" s="262"/>
      <c r="Q13" s="262"/>
      <c r="R13" s="262"/>
      <c r="S13" s="265"/>
      <c r="T13" s="281"/>
      <c r="U13" s="281"/>
      <c r="V13" s="266">
        <f t="shared" si="0"/>
        <v>0</v>
      </c>
    </row>
    <row r="14" spans="1:22">
      <c r="A14" s="145">
        <v>8</v>
      </c>
      <c r="B14" s="144" t="s">
        <v>74</v>
      </c>
      <c r="C14" s="264"/>
      <c r="D14" s="262"/>
      <c r="E14" s="262"/>
      <c r="F14" s="262"/>
      <c r="G14" s="262"/>
      <c r="H14" s="262"/>
      <c r="I14" s="262"/>
      <c r="J14" s="262"/>
      <c r="K14" s="262"/>
      <c r="L14" s="265"/>
      <c r="M14" s="264"/>
      <c r="N14" s="262"/>
      <c r="O14" s="262"/>
      <c r="P14" s="262"/>
      <c r="Q14" s="262"/>
      <c r="R14" s="262"/>
      <c r="S14" s="265"/>
      <c r="T14" s="281"/>
      <c r="U14" s="281"/>
      <c r="V14" s="266">
        <f t="shared" si="0"/>
        <v>0</v>
      </c>
    </row>
    <row r="15" spans="1:22">
      <c r="A15" s="145">
        <v>9</v>
      </c>
      <c r="B15" s="144" t="s">
        <v>75</v>
      </c>
      <c r="C15" s="264"/>
      <c r="D15" s="262"/>
      <c r="E15" s="262"/>
      <c r="F15" s="262"/>
      <c r="G15" s="262"/>
      <c r="H15" s="262"/>
      <c r="I15" s="262"/>
      <c r="J15" s="262"/>
      <c r="K15" s="262"/>
      <c r="L15" s="265"/>
      <c r="M15" s="264"/>
      <c r="N15" s="262"/>
      <c r="O15" s="262"/>
      <c r="P15" s="262"/>
      <c r="Q15" s="262"/>
      <c r="R15" s="262"/>
      <c r="S15" s="265"/>
      <c r="T15" s="281"/>
      <c r="U15" s="281"/>
      <c r="V15" s="266">
        <f t="shared" si="0"/>
        <v>0</v>
      </c>
    </row>
    <row r="16" spans="1:22">
      <c r="A16" s="145">
        <v>10</v>
      </c>
      <c r="B16" s="144" t="s">
        <v>69</v>
      </c>
      <c r="C16" s="264"/>
      <c r="D16" s="262"/>
      <c r="E16" s="262"/>
      <c r="F16" s="262"/>
      <c r="G16" s="262"/>
      <c r="H16" s="262"/>
      <c r="I16" s="262"/>
      <c r="J16" s="262"/>
      <c r="K16" s="262"/>
      <c r="L16" s="265"/>
      <c r="M16" s="264"/>
      <c r="N16" s="262"/>
      <c r="O16" s="262"/>
      <c r="P16" s="262"/>
      <c r="Q16" s="262"/>
      <c r="R16" s="262"/>
      <c r="S16" s="265"/>
      <c r="T16" s="281"/>
      <c r="U16" s="281"/>
      <c r="V16" s="266">
        <f t="shared" si="0"/>
        <v>0</v>
      </c>
    </row>
    <row r="17" spans="1:22">
      <c r="A17" s="145">
        <v>11</v>
      </c>
      <c r="B17" s="144" t="s">
        <v>70</v>
      </c>
      <c r="C17" s="264"/>
      <c r="D17" s="262"/>
      <c r="E17" s="262"/>
      <c r="F17" s="262"/>
      <c r="G17" s="262"/>
      <c r="H17" s="262"/>
      <c r="I17" s="262"/>
      <c r="J17" s="262"/>
      <c r="K17" s="262"/>
      <c r="L17" s="265"/>
      <c r="M17" s="264"/>
      <c r="N17" s="262"/>
      <c r="O17" s="262"/>
      <c r="P17" s="262"/>
      <c r="Q17" s="262"/>
      <c r="R17" s="262"/>
      <c r="S17" s="265"/>
      <c r="T17" s="281"/>
      <c r="U17" s="281"/>
      <c r="V17" s="266">
        <f t="shared" si="0"/>
        <v>0</v>
      </c>
    </row>
    <row r="18" spans="1:22">
      <c r="A18" s="145">
        <v>12</v>
      </c>
      <c r="B18" s="144" t="s">
        <v>71</v>
      </c>
      <c r="C18" s="264"/>
      <c r="D18" s="262"/>
      <c r="E18" s="262"/>
      <c r="F18" s="262"/>
      <c r="G18" s="262"/>
      <c r="H18" s="262"/>
      <c r="I18" s="262"/>
      <c r="J18" s="262"/>
      <c r="K18" s="262"/>
      <c r="L18" s="265"/>
      <c r="M18" s="264"/>
      <c r="N18" s="262"/>
      <c r="O18" s="262"/>
      <c r="P18" s="262"/>
      <c r="Q18" s="262"/>
      <c r="R18" s="262"/>
      <c r="S18" s="265"/>
      <c r="T18" s="281"/>
      <c r="U18" s="281"/>
      <c r="V18" s="266">
        <f t="shared" si="0"/>
        <v>0</v>
      </c>
    </row>
    <row r="19" spans="1:22">
      <c r="A19" s="145">
        <v>13</v>
      </c>
      <c r="B19" s="144" t="s">
        <v>72</v>
      </c>
      <c r="C19" s="264"/>
      <c r="D19" s="262"/>
      <c r="E19" s="262"/>
      <c r="F19" s="262"/>
      <c r="G19" s="262"/>
      <c r="H19" s="262"/>
      <c r="I19" s="262"/>
      <c r="J19" s="262"/>
      <c r="K19" s="262"/>
      <c r="L19" s="265"/>
      <c r="M19" s="264"/>
      <c r="N19" s="262"/>
      <c r="O19" s="262"/>
      <c r="P19" s="262"/>
      <c r="Q19" s="262"/>
      <c r="R19" s="262"/>
      <c r="S19" s="265"/>
      <c r="T19" s="281"/>
      <c r="U19" s="281"/>
      <c r="V19" s="266">
        <f t="shared" si="0"/>
        <v>0</v>
      </c>
    </row>
    <row r="20" spans="1:22">
      <c r="A20" s="145">
        <v>14</v>
      </c>
      <c r="B20" s="144" t="s">
        <v>248</v>
      </c>
      <c r="C20" s="264"/>
      <c r="D20" s="262"/>
      <c r="E20" s="262"/>
      <c r="F20" s="262"/>
      <c r="G20" s="262"/>
      <c r="H20" s="262"/>
      <c r="I20" s="262"/>
      <c r="J20" s="262"/>
      <c r="K20" s="262"/>
      <c r="L20" s="265"/>
      <c r="M20" s="264"/>
      <c r="N20" s="262"/>
      <c r="O20" s="262"/>
      <c r="P20" s="262"/>
      <c r="Q20" s="262"/>
      <c r="R20" s="262"/>
      <c r="S20" s="265"/>
      <c r="T20" s="281"/>
      <c r="U20" s="281"/>
      <c r="V20" s="266">
        <f t="shared" si="0"/>
        <v>0</v>
      </c>
    </row>
    <row r="21" spans="1:22" ht="13.5" thickBot="1">
      <c r="A21" s="90"/>
      <c r="B21" s="91" t="s">
        <v>68</v>
      </c>
      <c r="C21" s="267">
        <f>SUM(C7:C20)</f>
        <v>0</v>
      </c>
      <c r="D21" s="263">
        <f t="shared" ref="D21:V21" si="1">SUM(D7:D20)</f>
        <v>0</v>
      </c>
      <c r="E21" s="263">
        <f t="shared" si="1"/>
        <v>0</v>
      </c>
      <c r="F21" s="263">
        <f t="shared" si="1"/>
        <v>0</v>
      </c>
      <c r="G21" s="263">
        <f t="shared" si="1"/>
        <v>0</v>
      </c>
      <c r="H21" s="263">
        <f t="shared" si="1"/>
        <v>0</v>
      </c>
      <c r="I21" s="263">
        <f t="shared" si="1"/>
        <v>0</v>
      </c>
      <c r="J21" s="263">
        <f t="shared" si="1"/>
        <v>0</v>
      </c>
      <c r="K21" s="263">
        <f t="shared" si="1"/>
        <v>0</v>
      </c>
      <c r="L21" s="268">
        <f t="shared" si="1"/>
        <v>0</v>
      </c>
      <c r="M21" s="267">
        <f t="shared" si="1"/>
        <v>0</v>
      </c>
      <c r="N21" s="263">
        <f t="shared" si="1"/>
        <v>0</v>
      </c>
      <c r="O21" s="263">
        <f t="shared" si="1"/>
        <v>0</v>
      </c>
      <c r="P21" s="263">
        <f t="shared" si="1"/>
        <v>0</v>
      </c>
      <c r="Q21" s="263">
        <f t="shared" si="1"/>
        <v>0</v>
      </c>
      <c r="R21" s="263">
        <f t="shared" si="1"/>
        <v>0</v>
      </c>
      <c r="S21" s="268">
        <f t="shared" si="1"/>
        <v>0</v>
      </c>
      <c r="T21" s="268">
        <f>SUM(T7:T20)</f>
        <v>0</v>
      </c>
      <c r="U21" s="268">
        <f t="shared" si="1"/>
        <v>0</v>
      </c>
      <c r="V21" s="269">
        <f t="shared" si="1"/>
        <v>0</v>
      </c>
    </row>
    <row r="24" spans="1:22">
      <c r="C24" s="61"/>
      <c r="D24" s="61"/>
      <c r="E24" s="61"/>
    </row>
    <row r="25" spans="1:22">
      <c r="A25" s="56"/>
      <c r="B25" s="56"/>
      <c r="D25" s="61"/>
      <c r="E25" s="61"/>
    </row>
    <row r="26" spans="1:22">
      <c r="A26" s="56"/>
      <c r="B26" s="84"/>
      <c r="D26" s="61"/>
      <c r="E26" s="61"/>
    </row>
    <row r="27" spans="1:22">
      <c r="A27" s="56"/>
      <c r="B27" s="56"/>
      <c r="D27" s="61"/>
      <c r="E27" s="61"/>
    </row>
    <row r="28" spans="1:22">
      <c r="A28" s="56"/>
      <c r="B28" s="84"/>
      <c r="D28" s="61"/>
      <c r="E28" s="6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J28"/>
  <sheetViews>
    <sheetView zoomScale="80" zoomScaleNormal="8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9" width="9.140625" style="9"/>
    <col min="10" max="10" width="11.28515625" style="9" bestFit="1" customWidth="1"/>
    <col min="11" max="16384" width="9.140625" style="9"/>
  </cols>
  <sheetData>
    <row r="1" spans="1:10">
      <c r="A1" s="1" t="s">
        <v>188</v>
      </c>
      <c r="B1" s="1" t="str">
        <f>Info!C2</f>
        <v>სს "კრედო ბანკი"</v>
      </c>
    </row>
    <row r="2" spans="1:10">
      <c r="A2" s="1" t="s">
        <v>189</v>
      </c>
      <c r="B2" s="434">
        <f>'1. key ratios'!B2</f>
        <v>44926</v>
      </c>
    </row>
    <row r="4" spans="1:10" ht="13.5" thickBot="1">
      <c r="A4" s="1" t="s">
        <v>339</v>
      </c>
      <c r="B4" s="50" t="s">
        <v>360</v>
      </c>
    </row>
    <row r="5" spans="1:10">
      <c r="A5" s="88"/>
      <c r="B5" s="142"/>
      <c r="C5" s="147" t="s">
        <v>0</v>
      </c>
      <c r="D5" s="147" t="s">
        <v>1</v>
      </c>
      <c r="E5" s="147" t="s">
        <v>2</v>
      </c>
      <c r="F5" s="147" t="s">
        <v>3</v>
      </c>
      <c r="G5" s="279" t="s">
        <v>4</v>
      </c>
      <c r="H5" s="148" t="s">
        <v>5</v>
      </c>
      <c r="I5" s="18"/>
    </row>
    <row r="6" spans="1:10" ht="15" customHeight="1">
      <c r="A6" s="141"/>
      <c r="B6" s="16"/>
      <c r="C6" s="677" t="s">
        <v>352</v>
      </c>
      <c r="D6" s="688" t="s">
        <v>362</v>
      </c>
      <c r="E6" s="689"/>
      <c r="F6" s="677" t="s">
        <v>363</v>
      </c>
      <c r="G6" s="677" t="s">
        <v>364</v>
      </c>
      <c r="H6" s="686" t="s">
        <v>354</v>
      </c>
      <c r="I6" s="18"/>
    </row>
    <row r="7" spans="1:10" ht="76.5">
      <c r="A7" s="141"/>
      <c r="B7" s="16"/>
      <c r="C7" s="678"/>
      <c r="D7" s="283" t="s">
        <v>355</v>
      </c>
      <c r="E7" s="283" t="s">
        <v>353</v>
      </c>
      <c r="F7" s="678"/>
      <c r="G7" s="678"/>
      <c r="H7" s="687"/>
      <c r="I7" s="18"/>
    </row>
    <row r="8" spans="1:10">
      <c r="A8" s="80">
        <v>1</v>
      </c>
      <c r="B8" s="63" t="s">
        <v>216</v>
      </c>
      <c r="C8" s="262">
        <v>129402825.59</v>
      </c>
      <c r="D8" s="262"/>
      <c r="E8" s="262"/>
      <c r="F8" s="262">
        <v>31350815.68</v>
      </c>
      <c r="G8" s="280">
        <v>31350815.68</v>
      </c>
      <c r="H8" s="286">
        <f>IFERROR(G8/(C8+E8),"")</f>
        <v>0.24227303798861352</v>
      </c>
      <c r="J8" s="636"/>
    </row>
    <row r="9" spans="1:10" ht="21" customHeight="1">
      <c r="A9" s="80">
        <v>2</v>
      </c>
      <c r="B9" s="63" t="s">
        <v>217</v>
      </c>
      <c r="C9" s="262">
        <v>0</v>
      </c>
      <c r="D9" s="262"/>
      <c r="E9" s="262"/>
      <c r="F9" s="262">
        <v>0</v>
      </c>
      <c r="G9" s="280">
        <v>0</v>
      </c>
      <c r="H9" s="286" t="str">
        <f t="shared" ref="H9:H21" si="0">IFERROR(G9/(C9+E9),"")</f>
        <v/>
      </c>
    </row>
    <row r="10" spans="1:10">
      <c r="A10" s="80">
        <v>3</v>
      </c>
      <c r="B10" s="63" t="s">
        <v>218</v>
      </c>
      <c r="C10" s="262">
        <v>26142344.66</v>
      </c>
      <c r="D10" s="262"/>
      <c r="E10" s="262"/>
      <c r="F10" s="262">
        <v>0</v>
      </c>
      <c r="G10" s="280">
        <v>0</v>
      </c>
      <c r="H10" s="286">
        <f t="shared" si="0"/>
        <v>0</v>
      </c>
      <c r="J10" s="636"/>
    </row>
    <row r="11" spans="1:10">
      <c r="A11" s="80">
        <v>4</v>
      </c>
      <c r="B11" s="63" t="s">
        <v>219</v>
      </c>
      <c r="C11" s="262">
        <v>0</v>
      </c>
      <c r="D11" s="262"/>
      <c r="E11" s="262"/>
      <c r="F11" s="262">
        <v>0</v>
      </c>
      <c r="G11" s="280">
        <v>0</v>
      </c>
      <c r="H11" s="286" t="str">
        <f t="shared" si="0"/>
        <v/>
      </c>
    </row>
    <row r="12" spans="1:10">
      <c r="A12" s="80">
        <v>5</v>
      </c>
      <c r="B12" s="63" t="s">
        <v>220</v>
      </c>
      <c r="C12" s="262">
        <v>0</v>
      </c>
      <c r="D12" s="262"/>
      <c r="E12" s="262"/>
      <c r="F12" s="262">
        <v>0</v>
      </c>
      <c r="G12" s="280">
        <v>0</v>
      </c>
      <c r="H12" s="286" t="str">
        <f t="shared" si="0"/>
        <v/>
      </c>
    </row>
    <row r="13" spans="1:10">
      <c r="A13" s="80">
        <v>6</v>
      </c>
      <c r="B13" s="63" t="s">
        <v>221</v>
      </c>
      <c r="C13" s="262">
        <v>113834218.32000001</v>
      </c>
      <c r="D13" s="262"/>
      <c r="E13" s="262"/>
      <c r="F13" s="262">
        <v>55835047.573000006</v>
      </c>
      <c r="G13" s="280">
        <v>55835047.573000006</v>
      </c>
      <c r="H13" s="286">
        <f t="shared" si="0"/>
        <v>0.49049440842156788</v>
      </c>
    </row>
    <row r="14" spans="1:10">
      <c r="A14" s="80">
        <v>7</v>
      </c>
      <c r="B14" s="63" t="s">
        <v>73</v>
      </c>
      <c r="C14" s="262">
        <v>27220152.408319999</v>
      </c>
      <c r="D14" s="262">
        <v>7555411</v>
      </c>
      <c r="E14" s="262">
        <v>3777705.5</v>
      </c>
      <c r="F14" s="262">
        <v>30997857.908319999</v>
      </c>
      <c r="G14" s="280">
        <v>30997857.908319999</v>
      </c>
      <c r="H14" s="286">
        <f t="shared" si="0"/>
        <v>1</v>
      </c>
    </row>
    <row r="15" spans="1:10">
      <c r="A15" s="80">
        <v>8</v>
      </c>
      <c r="B15" s="63" t="s">
        <v>74</v>
      </c>
      <c r="C15" s="262">
        <v>1581276506.876724</v>
      </c>
      <c r="D15" s="262">
        <v>37741821.469999999</v>
      </c>
      <c r="E15" s="262">
        <v>16391542</v>
      </c>
      <c r="F15" s="262">
        <f>(C15+E15)*0.75</f>
        <v>1198251036.6575429</v>
      </c>
      <c r="G15" s="280">
        <v>1198251036.6575429</v>
      </c>
      <c r="H15" s="286">
        <f t="shared" si="0"/>
        <v>0.75</v>
      </c>
    </row>
    <row r="16" spans="1:10">
      <c r="A16" s="80">
        <v>9</v>
      </c>
      <c r="B16" s="63" t="s">
        <v>75</v>
      </c>
      <c r="C16" s="262"/>
      <c r="D16" s="262"/>
      <c r="E16" s="262"/>
      <c r="F16" s="262"/>
      <c r="G16" s="280"/>
      <c r="H16" s="286" t="str">
        <f t="shared" si="0"/>
        <v/>
      </c>
    </row>
    <row r="17" spans="1:8">
      <c r="A17" s="80">
        <v>10</v>
      </c>
      <c r="B17" s="63" t="s">
        <v>69</v>
      </c>
      <c r="C17" s="262">
        <v>7930943.9405999742</v>
      </c>
      <c r="D17" s="262"/>
      <c r="E17" s="262"/>
      <c r="F17" s="262">
        <v>9070199.3228999749</v>
      </c>
      <c r="G17" s="280">
        <v>9070199.3228999749</v>
      </c>
      <c r="H17" s="286">
        <f t="shared" si="0"/>
        <v>1.1436468837546487</v>
      </c>
    </row>
    <row r="18" spans="1:8">
      <c r="A18" s="80">
        <v>11</v>
      </c>
      <c r="B18" s="63" t="s">
        <v>70</v>
      </c>
      <c r="C18" s="262">
        <v>175663918.94993633</v>
      </c>
      <c r="D18" s="262"/>
      <c r="E18" s="262"/>
      <c r="F18" s="262">
        <v>199221694.18588632</v>
      </c>
      <c r="G18" s="280">
        <v>199221694.18588632</v>
      </c>
      <c r="H18" s="286">
        <f t="shared" si="0"/>
        <v>1.1341070800240081</v>
      </c>
    </row>
    <row r="19" spans="1:8">
      <c r="A19" s="80">
        <v>12</v>
      </c>
      <c r="B19" s="63" t="s">
        <v>71</v>
      </c>
      <c r="C19" s="262"/>
      <c r="D19" s="262"/>
      <c r="E19" s="262"/>
      <c r="F19" s="262"/>
      <c r="G19" s="280"/>
      <c r="H19" s="286" t="str">
        <f t="shared" si="0"/>
        <v/>
      </c>
    </row>
    <row r="20" spans="1:8">
      <c r="A20" s="80">
        <v>13</v>
      </c>
      <c r="B20" s="63" t="s">
        <v>72</v>
      </c>
      <c r="C20" s="262"/>
      <c r="D20" s="262"/>
      <c r="E20" s="262"/>
      <c r="F20" s="262"/>
      <c r="G20" s="280"/>
      <c r="H20" s="286" t="str">
        <f t="shared" si="0"/>
        <v/>
      </c>
    </row>
    <row r="21" spans="1:8">
      <c r="A21" s="80">
        <v>14</v>
      </c>
      <c r="B21" s="63" t="s">
        <v>248</v>
      </c>
      <c r="C21" s="262">
        <v>161483318.63999999</v>
      </c>
      <c r="D21" s="262"/>
      <c r="E21" s="262"/>
      <c r="F21" s="262">
        <v>83180906.909999996</v>
      </c>
      <c r="G21" s="280">
        <v>83180906.909999996</v>
      </c>
      <c r="H21" s="286">
        <f t="shared" si="0"/>
        <v>0.51510526047237049</v>
      </c>
    </row>
    <row r="22" spans="1:8" ht="13.5" thickBot="1">
      <c r="A22" s="143"/>
      <c r="B22" s="149" t="s">
        <v>68</v>
      </c>
      <c r="C22" s="263">
        <f>SUM(C8:C21)</f>
        <v>2222954229.3855801</v>
      </c>
      <c r="D22" s="263">
        <f>SUM(D8:D21)</f>
        <v>45297232.469999999</v>
      </c>
      <c r="E22" s="263">
        <f>SUM(E8:E21)</f>
        <v>20169247.5</v>
      </c>
      <c r="F22" s="263">
        <f>SUM(F8:F21)</f>
        <v>1607907558.2376494</v>
      </c>
      <c r="G22" s="263">
        <f>SUM(G8:G21)</f>
        <v>1607907558.2376494</v>
      </c>
      <c r="H22" s="552">
        <f>G22/(C22+E22)</f>
        <v>0.71681633882683826</v>
      </c>
    </row>
    <row r="24" spans="1:8">
      <c r="F24" s="606"/>
    </row>
    <row r="25" spans="1:8">
      <c r="F25" s="606"/>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10" activePane="bottomRight" state="frozen"/>
      <selection pane="topRight" activeCell="C1" sqref="C1"/>
      <selection pane="bottomLeft" activeCell="A6" sqref="A6"/>
      <selection pane="bottomRight" activeCell="I19" sqref="I19:J19"/>
    </sheetView>
  </sheetViews>
  <sheetFormatPr defaultColWidth="9.140625" defaultRowHeight="12.75"/>
  <cols>
    <col min="1" max="1" width="10.5703125" style="1" bestFit="1" customWidth="1"/>
    <col min="2" max="2" width="84" style="1" customWidth="1"/>
    <col min="3" max="11" width="12.7109375" style="1" customWidth="1"/>
    <col min="12" max="16384" width="9.140625" style="1"/>
  </cols>
  <sheetData>
    <row r="1" spans="1:11">
      <c r="A1" s="1" t="s">
        <v>188</v>
      </c>
      <c r="B1" s="1" t="str">
        <f>Info!C2</f>
        <v>სს "კრედო ბანკი"</v>
      </c>
    </row>
    <row r="2" spans="1:11">
      <c r="A2" s="1" t="s">
        <v>189</v>
      </c>
      <c r="B2" s="434">
        <f>'1. key ratios'!B2</f>
        <v>44926</v>
      </c>
    </row>
    <row r="4" spans="1:11" ht="13.5" thickBot="1">
      <c r="A4" s="1" t="s">
        <v>392</v>
      </c>
      <c r="B4" s="50" t="s">
        <v>391</v>
      </c>
    </row>
    <row r="5" spans="1:11" ht="30" customHeight="1">
      <c r="A5" s="693"/>
      <c r="B5" s="694"/>
      <c r="C5" s="691" t="s">
        <v>423</v>
      </c>
      <c r="D5" s="691"/>
      <c r="E5" s="691"/>
      <c r="F5" s="691" t="s">
        <v>424</v>
      </c>
      <c r="G5" s="691"/>
      <c r="H5" s="691"/>
      <c r="I5" s="691" t="s">
        <v>425</v>
      </c>
      <c r="J5" s="691"/>
      <c r="K5" s="692"/>
    </row>
    <row r="6" spans="1:11">
      <c r="A6" s="310"/>
      <c r="B6" s="311"/>
      <c r="C6" s="312" t="s">
        <v>27</v>
      </c>
      <c r="D6" s="312" t="s">
        <v>96</v>
      </c>
      <c r="E6" s="312" t="s">
        <v>68</v>
      </c>
      <c r="F6" s="312" t="s">
        <v>27</v>
      </c>
      <c r="G6" s="312" t="s">
        <v>96</v>
      </c>
      <c r="H6" s="312" t="s">
        <v>68</v>
      </c>
      <c r="I6" s="312" t="s">
        <v>27</v>
      </c>
      <c r="J6" s="312" t="s">
        <v>96</v>
      </c>
      <c r="K6" s="313" t="s">
        <v>68</v>
      </c>
    </row>
    <row r="7" spans="1:11">
      <c r="A7" s="314" t="s">
        <v>371</v>
      </c>
      <c r="B7" s="309"/>
      <c r="C7" s="309"/>
      <c r="D7" s="309"/>
      <c r="E7" s="309"/>
      <c r="F7" s="309"/>
      <c r="G7" s="309"/>
      <c r="H7" s="309"/>
      <c r="I7" s="309"/>
      <c r="J7" s="309"/>
      <c r="K7" s="315"/>
    </row>
    <row r="8" spans="1:11">
      <c r="A8" s="630">
        <v>1</v>
      </c>
      <c r="B8" s="293" t="s">
        <v>371</v>
      </c>
      <c r="C8" s="291"/>
      <c r="D8" s="291"/>
      <c r="E8" s="291"/>
      <c r="F8" s="555">
        <v>98860410.282591403</v>
      </c>
      <c r="G8" s="555">
        <v>154241911.68267742</v>
      </c>
      <c r="H8" s="555">
        <f>F8+G8</f>
        <v>253102321.96526882</v>
      </c>
      <c r="I8" s="555">
        <v>108267705.40954123</v>
      </c>
      <c r="J8" s="555">
        <v>50712979.912143372</v>
      </c>
      <c r="K8" s="556">
        <f>I8+J8</f>
        <v>158980685.3216846</v>
      </c>
    </row>
    <row r="9" spans="1:11">
      <c r="A9" s="314" t="s">
        <v>372</v>
      </c>
      <c r="B9" s="309"/>
      <c r="C9" s="309"/>
      <c r="D9" s="309"/>
      <c r="E9" s="309"/>
      <c r="F9" s="309"/>
      <c r="G9" s="309"/>
      <c r="H9" s="555"/>
      <c r="I9" s="309"/>
      <c r="J9" s="309"/>
      <c r="K9" s="556"/>
    </row>
    <row r="10" spans="1:11">
      <c r="A10" s="631">
        <v>2</v>
      </c>
      <c r="B10" s="294" t="s">
        <v>373</v>
      </c>
      <c r="C10" s="461">
        <v>156653478.88294157</v>
      </c>
      <c r="D10" s="553">
        <v>162086552.42496952</v>
      </c>
      <c r="E10" s="553">
        <f>C10+D10</f>
        <v>318740031.3079111</v>
      </c>
      <c r="F10" s="553">
        <v>39512057.484999321</v>
      </c>
      <c r="G10" s="553">
        <v>41631450.037909992</v>
      </c>
      <c r="H10" s="555">
        <f t="shared" ref="H10:H19" si="0">F10+G10</f>
        <v>81143507.522909313</v>
      </c>
      <c r="I10" s="553">
        <v>7832673.9441470802</v>
      </c>
      <c r="J10" s="553">
        <v>8104327.6212484762</v>
      </c>
      <c r="K10" s="556">
        <f t="shared" ref="K10:K19" si="1">I10+J10</f>
        <v>15937001.565395556</v>
      </c>
    </row>
    <row r="11" spans="1:11">
      <c r="A11" s="631">
        <v>3</v>
      </c>
      <c r="B11" s="294" t="s">
        <v>374</v>
      </c>
      <c r="C11" s="461">
        <v>104390401.65162079</v>
      </c>
      <c r="D11" s="553">
        <v>12635128.067537285</v>
      </c>
      <c r="E11" s="553">
        <f t="shared" ref="E11:E19" si="2">C11+D11</f>
        <v>117025529.71915808</v>
      </c>
      <c r="F11" s="553">
        <v>50283889.672026336</v>
      </c>
      <c r="G11" s="553">
        <v>7144948.8056523204</v>
      </c>
      <c r="H11" s="555">
        <f t="shared" si="0"/>
        <v>57428838.477678657</v>
      </c>
      <c r="I11" s="553">
        <v>45193026.498059064</v>
      </c>
      <c r="J11" s="553">
        <v>7118010.7994450275</v>
      </c>
      <c r="K11" s="556">
        <f t="shared" si="1"/>
        <v>52311037.29750409</v>
      </c>
    </row>
    <row r="12" spans="1:11">
      <c r="A12" s="631">
        <v>4</v>
      </c>
      <c r="B12" s="294" t="s">
        <v>375</v>
      </c>
      <c r="C12" s="461">
        <v>45821684.587813616</v>
      </c>
      <c r="D12" s="553">
        <v>0</v>
      </c>
      <c r="E12" s="553">
        <f t="shared" si="2"/>
        <v>45821684.587813616</v>
      </c>
      <c r="F12" s="553">
        <v>0</v>
      </c>
      <c r="G12" s="553">
        <v>0</v>
      </c>
      <c r="H12" s="555"/>
      <c r="I12" s="553">
        <v>0</v>
      </c>
      <c r="J12" s="553">
        <v>0</v>
      </c>
      <c r="K12" s="556"/>
    </row>
    <row r="13" spans="1:11">
      <c r="A13" s="631">
        <v>5</v>
      </c>
      <c r="B13" s="294" t="s">
        <v>376</v>
      </c>
      <c r="C13" s="461">
        <v>17898280.892953645</v>
      </c>
      <c r="D13" s="553">
        <v>11642555.793149106</v>
      </c>
      <c r="E13" s="553">
        <f t="shared" si="2"/>
        <v>29540836.686102752</v>
      </c>
      <c r="F13" s="553">
        <v>5369484.2678860938</v>
      </c>
      <c r="G13" s="553">
        <v>3492766.737944732</v>
      </c>
      <c r="H13" s="555">
        <f t="shared" si="0"/>
        <v>8862251.0058308262</v>
      </c>
      <c r="I13" s="553">
        <v>894914.04464768234</v>
      </c>
      <c r="J13" s="553">
        <v>582127.78965745529</v>
      </c>
      <c r="K13" s="556">
        <f t="shared" si="1"/>
        <v>1477041.8343051376</v>
      </c>
    </row>
    <row r="14" spans="1:11">
      <c r="A14" s="316">
        <v>6</v>
      </c>
      <c r="B14" s="294" t="s">
        <v>390</v>
      </c>
      <c r="C14" s="461"/>
      <c r="D14" s="553"/>
      <c r="E14" s="553"/>
      <c r="F14" s="553">
        <v>0</v>
      </c>
      <c r="G14" s="553">
        <v>0</v>
      </c>
      <c r="H14" s="555"/>
      <c r="I14" s="553">
        <v>0</v>
      </c>
      <c r="J14" s="553">
        <v>0</v>
      </c>
      <c r="K14" s="556"/>
    </row>
    <row r="15" spans="1:11">
      <c r="A15" s="631">
        <v>7</v>
      </c>
      <c r="B15" s="294" t="s">
        <v>377</v>
      </c>
      <c r="C15" s="461">
        <v>10293950.329326166</v>
      </c>
      <c r="D15" s="553">
        <v>4210683.6543082446</v>
      </c>
      <c r="E15" s="553">
        <f t="shared" si="2"/>
        <v>14504633.98363441</v>
      </c>
      <c r="F15" s="553">
        <v>10293950.329326166</v>
      </c>
      <c r="G15" s="553">
        <v>4210683.6543082446</v>
      </c>
      <c r="H15" s="555">
        <f t="shared" si="0"/>
        <v>14504633.98363441</v>
      </c>
      <c r="I15" s="553">
        <v>10293950.329326166</v>
      </c>
      <c r="J15" s="553">
        <v>4210683.6543082446</v>
      </c>
      <c r="K15" s="556">
        <f t="shared" si="1"/>
        <v>14504633.98363441</v>
      </c>
    </row>
    <row r="16" spans="1:11">
      <c r="A16" s="316">
        <v>8</v>
      </c>
      <c r="B16" s="296" t="s">
        <v>378</v>
      </c>
      <c r="C16" s="557">
        <f t="shared" ref="C16:K16" si="3">SUM(C10:C15)</f>
        <v>335057796.34465575</v>
      </c>
      <c r="D16" s="557">
        <f t="shared" si="3"/>
        <v>190574919.93996418</v>
      </c>
      <c r="E16" s="557">
        <f t="shared" si="3"/>
        <v>525632716.28461999</v>
      </c>
      <c r="F16" s="557">
        <f t="shared" si="3"/>
        <v>105459381.75423792</v>
      </c>
      <c r="G16" s="557">
        <f t="shared" si="3"/>
        <v>56479849.235815287</v>
      </c>
      <c r="H16" s="557">
        <f t="shared" si="3"/>
        <v>161939230.99005321</v>
      </c>
      <c r="I16" s="557">
        <f t="shared" si="3"/>
        <v>64214564.816179991</v>
      </c>
      <c r="J16" s="557">
        <f t="shared" si="3"/>
        <v>20015149.864659205</v>
      </c>
      <c r="K16" s="557">
        <f t="shared" si="3"/>
        <v>84229714.680839196</v>
      </c>
    </row>
    <row r="17" spans="1:11">
      <c r="A17" s="314" t="s">
        <v>379</v>
      </c>
      <c r="B17" s="309"/>
      <c r="C17" s="554"/>
      <c r="D17" s="554"/>
      <c r="E17" s="553"/>
      <c r="F17" s="554"/>
      <c r="G17" s="554"/>
      <c r="H17" s="555"/>
      <c r="I17" s="554"/>
      <c r="J17" s="554"/>
      <c r="K17" s="556"/>
    </row>
    <row r="18" spans="1:11">
      <c r="A18" s="316">
        <v>9</v>
      </c>
      <c r="B18" s="294" t="s">
        <v>380</v>
      </c>
      <c r="C18" s="461"/>
      <c r="D18" s="553"/>
      <c r="E18" s="553"/>
      <c r="F18" s="553"/>
      <c r="G18" s="553"/>
      <c r="H18" s="555"/>
      <c r="I18" s="553"/>
      <c r="J18" s="553"/>
      <c r="K18" s="556"/>
    </row>
    <row r="19" spans="1:11">
      <c r="A19" s="631">
        <v>10</v>
      </c>
      <c r="B19" s="294" t="s">
        <v>381</v>
      </c>
      <c r="C19" s="461">
        <v>83748174.999656424</v>
      </c>
      <c r="D19" s="553">
        <v>1802680.2952233444</v>
      </c>
      <c r="E19" s="553">
        <f t="shared" si="2"/>
        <v>85550855.294879764</v>
      </c>
      <c r="F19" s="553">
        <v>41874087.499828212</v>
      </c>
      <c r="G19" s="553">
        <v>901340.14761167218</v>
      </c>
      <c r="H19" s="555">
        <f t="shared" si="0"/>
        <v>42775427.647439882</v>
      </c>
      <c r="I19" s="553">
        <v>78270988.071803123</v>
      </c>
      <c r="J19" s="553">
        <v>104443913.68434286</v>
      </c>
      <c r="K19" s="556">
        <f t="shared" si="1"/>
        <v>182714901.75614598</v>
      </c>
    </row>
    <row r="20" spans="1:11">
      <c r="A20" s="316">
        <v>11</v>
      </c>
      <c r="B20" s="294" t="s">
        <v>382</v>
      </c>
      <c r="C20" s="294"/>
      <c r="D20" s="295"/>
      <c r="E20" s="295"/>
      <c r="F20" s="295"/>
      <c r="G20" s="295"/>
      <c r="H20" s="295"/>
      <c r="I20" s="295"/>
      <c r="J20" s="295"/>
      <c r="K20" s="317"/>
    </row>
    <row r="21" spans="1:11" ht="13.5" thickBot="1">
      <c r="A21" s="203">
        <v>12</v>
      </c>
      <c r="B21" s="318" t="s">
        <v>383</v>
      </c>
      <c r="C21" s="558">
        <f>SUM(C18:C20)</f>
        <v>83748174.999656424</v>
      </c>
      <c r="D21" s="558">
        <f t="shared" ref="D21:K21" si="4">SUM(D18:D20)</f>
        <v>1802680.2952233444</v>
      </c>
      <c r="E21" s="558">
        <f t="shared" si="4"/>
        <v>85550855.294879764</v>
      </c>
      <c r="F21" s="558">
        <f t="shared" si="4"/>
        <v>41874087.499828212</v>
      </c>
      <c r="G21" s="558">
        <f t="shared" si="4"/>
        <v>901340.14761167218</v>
      </c>
      <c r="H21" s="558">
        <f t="shared" si="4"/>
        <v>42775427.647439882</v>
      </c>
      <c r="I21" s="558">
        <f t="shared" si="4"/>
        <v>78270988.071803123</v>
      </c>
      <c r="J21" s="558">
        <f t="shared" si="4"/>
        <v>104443913.68434286</v>
      </c>
      <c r="K21" s="558">
        <f t="shared" si="4"/>
        <v>182714901.75614598</v>
      </c>
    </row>
    <row r="22" spans="1:11" ht="38.25" customHeight="1" thickBot="1">
      <c r="A22" s="307"/>
      <c r="B22" s="308"/>
      <c r="C22" s="308"/>
      <c r="D22" s="308"/>
      <c r="E22" s="308"/>
      <c r="F22" s="690" t="s">
        <v>384</v>
      </c>
      <c r="G22" s="691"/>
      <c r="H22" s="691"/>
      <c r="I22" s="690" t="s">
        <v>385</v>
      </c>
      <c r="J22" s="691"/>
      <c r="K22" s="692"/>
    </row>
    <row r="23" spans="1:11" ht="13.5" thickBot="1">
      <c r="A23" s="300">
        <v>13</v>
      </c>
      <c r="B23" s="297" t="s">
        <v>371</v>
      </c>
      <c r="C23" s="306"/>
      <c r="D23" s="306"/>
      <c r="E23" s="306"/>
      <c r="F23" s="559">
        <f>F8</f>
        <v>98860410.282591403</v>
      </c>
      <c r="G23" s="559">
        <f>G8</f>
        <v>154241911.68267742</v>
      </c>
      <c r="H23" s="560">
        <f>F23+G23</f>
        <v>253102321.96526882</v>
      </c>
      <c r="I23" s="559">
        <f>I8</f>
        <v>108267705.40954123</v>
      </c>
      <c r="J23" s="559">
        <f>J8</f>
        <v>50712979.912143372</v>
      </c>
      <c r="K23" s="561">
        <f>I23+J23</f>
        <v>158980685.3216846</v>
      </c>
    </row>
    <row r="24" spans="1:11" ht="13.5" thickBot="1">
      <c r="A24" s="301">
        <v>14</v>
      </c>
      <c r="B24" s="298" t="s">
        <v>386</v>
      </c>
      <c r="C24" s="319"/>
      <c r="D24" s="304"/>
      <c r="E24" s="305"/>
      <c r="F24" s="562">
        <f>MAX(F16-F21,F16*0.25)</f>
        <v>63585294.254409708</v>
      </c>
      <c r="G24" s="562">
        <f>MAX(G16-G21,G16*0.25)</f>
        <v>55578509.088203616</v>
      </c>
      <c r="H24" s="560">
        <f>F24+G24</f>
        <v>119163803.34261332</v>
      </c>
      <c r="I24" s="562">
        <f>MAX(I16-I21,I16*0.25)</f>
        <v>16053641.204044998</v>
      </c>
      <c r="J24" s="562">
        <f>MAX(J16-J21,J16*0.25)</f>
        <v>5003787.4661648013</v>
      </c>
      <c r="K24" s="561">
        <f>I24+J24</f>
        <v>21057428.670209799</v>
      </c>
    </row>
    <row r="25" spans="1:11" ht="13.5" thickBot="1">
      <c r="A25" s="302">
        <v>15</v>
      </c>
      <c r="B25" s="299" t="s">
        <v>387</v>
      </c>
      <c r="C25" s="303"/>
      <c r="D25" s="303"/>
      <c r="E25" s="303"/>
      <c r="F25" s="563">
        <f t="shared" ref="F25:K25" si="5">F23/F24</f>
        <v>1.5547684640263393</v>
      </c>
      <c r="G25" s="563">
        <f t="shared" si="5"/>
        <v>2.7752077954788974</v>
      </c>
      <c r="H25" s="563">
        <f t="shared" si="5"/>
        <v>2.1239866038646209</v>
      </c>
      <c r="I25" s="563">
        <f t="shared" si="5"/>
        <v>6.7441214135433203</v>
      </c>
      <c r="J25" s="563">
        <f t="shared" si="5"/>
        <v>10.134918849983212</v>
      </c>
      <c r="K25" s="564">
        <f t="shared" si="5"/>
        <v>7.5498622273191653</v>
      </c>
    </row>
    <row r="28" spans="1:11" ht="38.25">
      <c r="B28" s="17" t="s">
        <v>422</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7" activePane="bottomRight" state="frozen"/>
      <selection pane="topRight" activeCell="B1" sqref="B1"/>
      <selection pane="bottomLeft" activeCell="A5" sqref="A5"/>
      <selection pane="bottomRight" activeCell="K8" sqref="K8"/>
    </sheetView>
  </sheetViews>
  <sheetFormatPr defaultColWidth="9.140625" defaultRowHeight="15"/>
  <cols>
    <col min="1" max="1" width="10.5703125" style="58" bestFit="1" customWidth="1"/>
    <col min="2" max="2" width="95" style="58" customWidth="1"/>
    <col min="3" max="3" width="12.5703125" style="58" bestFit="1" customWidth="1"/>
    <col min="4" max="4" width="10" style="58" bestFit="1" customWidth="1"/>
    <col min="5" max="5" width="18.28515625" style="58" bestFit="1" customWidth="1"/>
    <col min="6" max="13" width="10.7109375" style="58" customWidth="1"/>
    <col min="14" max="14" width="31" style="58" bestFit="1" customWidth="1"/>
    <col min="15" max="16384" width="9.140625" style="9"/>
  </cols>
  <sheetData>
    <row r="1" spans="1:14">
      <c r="A1" s="1" t="s">
        <v>188</v>
      </c>
      <c r="B1" s="58" t="str">
        <f>Info!C2</f>
        <v>სს "კრედო ბანკი"</v>
      </c>
    </row>
    <row r="2" spans="1:14" ht="14.25" customHeight="1">
      <c r="A2" s="58" t="s">
        <v>189</v>
      </c>
      <c r="B2" s="434">
        <f>'1. key ratios'!B2</f>
        <v>44926</v>
      </c>
    </row>
    <row r="3" spans="1:14" ht="14.25" customHeight="1"/>
    <row r="4" spans="1:14" ht="15.75" thickBot="1">
      <c r="A4" s="1" t="s">
        <v>340</v>
      </c>
      <c r="B4" s="82" t="s">
        <v>77</v>
      </c>
    </row>
    <row r="5" spans="1:14" s="19" customFormat="1" ht="12.75">
      <c r="A5" s="158"/>
      <c r="B5" s="159"/>
      <c r="C5" s="160" t="s">
        <v>0</v>
      </c>
      <c r="D5" s="160" t="s">
        <v>1</v>
      </c>
      <c r="E5" s="160" t="s">
        <v>2</v>
      </c>
      <c r="F5" s="160" t="s">
        <v>3</v>
      </c>
      <c r="G5" s="160" t="s">
        <v>4</v>
      </c>
      <c r="H5" s="160" t="s">
        <v>5</v>
      </c>
      <c r="I5" s="160" t="s">
        <v>237</v>
      </c>
      <c r="J5" s="160" t="s">
        <v>238</v>
      </c>
      <c r="K5" s="160" t="s">
        <v>239</v>
      </c>
      <c r="L5" s="160" t="s">
        <v>240</v>
      </c>
      <c r="M5" s="160" t="s">
        <v>241</v>
      </c>
      <c r="N5" s="161" t="s">
        <v>242</v>
      </c>
    </row>
    <row r="6" spans="1:14" ht="45">
      <c r="A6" s="150"/>
      <c r="B6" s="92"/>
      <c r="C6" s="93" t="s">
        <v>87</v>
      </c>
      <c r="D6" s="94" t="s">
        <v>76</v>
      </c>
      <c r="E6" s="95" t="s">
        <v>86</v>
      </c>
      <c r="F6" s="96">
        <v>0</v>
      </c>
      <c r="G6" s="96">
        <v>0.2</v>
      </c>
      <c r="H6" s="96">
        <v>0.35</v>
      </c>
      <c r="I6" s="96">
        <v>0.5</v>
      </c>
      <c r="J6" s="96">
        <v>0.75</v>
      </c>
      <c r="K6" s="96">
        <v>1</v>
      </c>
      <c r="L6" s="96">
        <v>1.5</v>
      </c>
      <c r="M6" s="96">
        <v>2.5</v>
      </c>
      <c r="N6" s="151" t="s">
        <v>77</v>
      </c>
    </row>
    <row r="7" spans="1:14">
      <c r="A7" s="152">
        <v>1</v>
      </c>
      <c r="B7" s="97" t="s">
        <v>78</v>
      </c>
      <c r="C7" s="270">
        <f>SUM(C8:C13)</f>
        <v>170967056</v>
      </c>
      <c r="D7" s="92"/>
      <c r="E7" s="273">
        <f t="shared" ref="E7:M7" si="0">SUM(E8:E13)</f>
        <v>3419341.12</v>
      </c>
      <c r="F7" s="270">
        <f>SUM(F8:F13)</f>
        <v>0</v>
      </c>
      <c r="G7" s="270">
        <f t="shared" si="0"/>
        <v>0</v>
      </c>
      <c r="H7" s="270">
        <f t="shared" si="0"/>
        <v>0</v>
      </c>
      <c r="I7" s="270">
        <f t="shared" si="0"/>
        <v>0</v>
      </c>
      <c r="J7" s="270">
        <f t="shared" si="0"/>
        <v>0</v>
      </c>
      <c r="K7" s="270">
        <f t="shared" si="0"/>
        <v>3419341.12</v>
      </c>
      <c r="L7" s="270">
        <f t="shared" si="0"/>
        <v>0</v>
      </c>
      <c r="M7" s="270">
        <f t="shared" si="0"/>
        <v>0</v>
      </c>
      <c r="N7" s="153">
        <f>SUM(N8:N13)</f>
        <v>3419341.12</v>
      </c>
    </row>
    <row r="8" spans="1:14">
      <c r="A8" s="152">
        <v>1.1000000000000001</v>
      </c>
      <c r="B8" s="98" t="s">
        <v>79</v>
      </c>
      <c r="C8" s="645">
        <v>170967056</v>
      </c>
      <c r="D8" s="99">
        <v>0.02</v>
      </c>
      <c r="E8" s="273">
        <f>C8*D8</f>
        <v>3419341.12</v>
      </c>
      <c r="F8" s="271"/>
      <c r="G8" s="271"/>
      <c r="H8" s="271"/>
      <c r="I8" s="271"/>
      <c r="J8" s="271"/>
      <c r="K8" s="645">
        <v>3419341.12</v>
      </c>
      <c r="L8" s="271"/>
      <c r="M8" s="271"/>
      <c r="N8" s="153">
        <f>SUMPRODUCT($F$6:$M$6,F8:M8)</f>
        <v>3419341.12</v>
      </c>
    </row>
    <row r="9" spans="1:14">
      <c r="A9" s="152">
        <v>1.2</v>
      </c>
      <c r="B9" s="98" t="s">
        <v>80</v>
      </c>
      <c r="C9" s="271"/>
      <c r="D9" s="99">
        <v>0.05</v>
      </c>
      <c r="E9" s="273">
        <f>C9*D9</f>
        <v>0</v>
      </c>
      <c r="F9" s="271"/>
      <c r="G9" s="271"/>
      <c r="H9" s="271"/>
      <c r="I9" s="271"/>
      <c r="J9" s="271"/>
      <c r="K9" s="271"/>
      <c r="L9" s="271"/>
      <c r="M9" s="271"/>
      <c r="N9" s="153">
        <f t="shared" ref="N9:N12" si="1">SUMPRODUCT($F$6:$M$6,F9:M9)</f>
        <v>0</v>
      </c>
    </row>
    <row r="10" spans="1:14">
      <c r="A10" s="152">
        <v>1.3</v>
      </c>
      <c r="B10" s="98" t="s">
        <v>81</v>
      </c>
      <c r="C10" s="271">
        <v>0</v>
      </c>
      <c r="D10" s="99">
        <v>0.08</v>
      </c>
      <c r="E10" s="273">
        <f>C10*D10</f>
        <v>0</v>
      </c>
      <c r="F10" s="271"/>
      <c r="G10" s="271"/>
      <c r="H10" s="271"/>
      <c r="I10" s="271"/>
      <c r="J10" s="271"/>
      <c r="K10" s="271"/>
      <c r="L10" s="271"/>
      <c r="M10" s="271"/>
      <c r="N10" s="153">
        <f>SUMPRODUCT($F$6:$M$6,F10:M10)</f>
        <v>0</v>
      </c>
    </row>
    <row r="11" spans="1:14">
      <c r="A11" s="152">
        <v>1.4</v>
      </c>
      <c r="B11" s="98" t="s">
        <v>82</v>
      </c>
      <c r="C11" s="271">
        <v>0</v>
      </c>
      <c r="D11" s="99">
        <v>0.11</v>
      </c>
      <c r="E11" s="273">
        <f>C11*D11</f>
        <v>0</v>
      </c>
      <c r="F11" s="271"/>
      <c r="G11" s="271"/>
      <c r="H11" s="271"/>
      <c r="I11" s="271"/>
      <c r="J11" s="271"/>
      <c r="K11" s="271"/>
      <c r="L11" s="271"/>
      <c r="M11" s="271"/>
      <c r="N11" s="153">
        <f t="shared" si="1"/>
        <v>0</v>
      </c>
    </row>
    <row r="12" spans="1:14">
      <c r="A12" s="152">
        <v>1.5</v>
      </c>
      <c r="B12" s="98" t="s">
        <v>83</v>
      </c>
      <c r="C12" s="271">
        <v>0</v>
      </c>
      <c r="D12" s="99">
        <v>0.14000000000000001</v>
      </c>
      <c r="E12" s="273">
        <f>C12*D12</f>
        <v>0</v>
      </c>
      <c r="F12" s="271"/>
      <c r="G12" s="271"/>
      <c r="H12" s="271"/>
      <c r="I12" s="271"/>
      <c r="J12" s="271"/>
      <c r="K12" s="271"/>
      <c r="L12" s="271"/>
      <c r="M12" s="271"/>
      <c r="N12" s="153">
        <f t="shared" si="1"/>
        <v>0</v>
      </c>
    </row>
    <row r="13" spans="1:14">
      <c r="A13" s="152">
        <v>1.6</v>
      </c>
      <c r="B13" s="100" t="s">
        <v>84</v>
      </c>
      <c r="C13" s="271">
        <v>0</v>
      </c>
      <c r="D13" s="101"/>
      <c r="E13" s="271"/>
      <c r="F13" s="271"/>
      <c r="G13" s="271"/>
      <c r="H13" s="271"/>
      <c r="I13" s="271"/>
      <c r="J13" s="271"/>
      <c r="K13" s="271"/>
      <c r="L13" s="271"/>
      <c r="M13" s="271"/>
      <c r="N13" s="153">
        <f>SUMPRODUCT($F$6:$M$6,F13:M13)</f>
        <v>0</v>
      </c>
    </row>
    <row r="14" spans="1:14">
      <c r="A14" s="152">
        <v>2</v>
      </c>
      <c r="B14" s="102" t="s">
        <v>85</v>
      </c>
      <c r="C14" s="270">
        <f>SUM(C15:C20)</f>
        <v>0</v>
      </c>
      <c r="D14" s="92"/>
      <c r="E14" s="273">
        <f t="shared" ref="E14:M14" si="2">SUM(E15:E20)</f>
        <v>0</v>
      </c>
      <c r="F14" s="271">
        <f t="shared" si="2"/>
        <v>0</v>
      </c>
      <c r="G14" s="271">
        <f t="shared" si="2"/>
        <v>0</v>
      </c>
      <c r="H14" s="271">
        <f t="shared" si="2"/>
        <v>0</v>
      </c>
      <c r="I14" s="271">
        <f t="shared" si="2"/>
        <v>0</v>
      </c>
      <c r="J14" s="271">
        <f t="shared" si="2"/>
        <v>0</v>
      </c>
      <c r="K14" s="271">
        <f t="shared" si="2"/>
        <v>0</v>
      </c>
      <c r="L14" s="271">
        <f t="shared" si="2"/>
        <v>0</v>
      </c>
      <c r="M14" s="271">
        <f t="shared" si="2"/>
        <v>0</v>
      </c>
      <c r="N14" s="153">
        <f>SUM(N15:N20)</f>
        <v>0</v>
      </c>
    </row>
    <row r="15" spans="1:14">
      <c r="A15" s="152">
        <v>2.1</v>
      </c>
      <c r="B15" s="100" t="s">
        <v>79</v>
      </c>
      <c r="C15" s="271"/>
      <c r="D15" s="99">
        <v>5.0000000000000001E-3</v>
      </c>
      <c r="E15" s="273">
        <f>C15*D15</f>
        <v>0</v>
      </c>
      <c r="F15" s="271"/>
      <c r="G15" s="271"/>
      <c r="H15" s="271"/>
      <c r="I15" s="271"/>
      <c r="J15" s="271"/>
      <c r="K15" s="271"/>
      <c r="L15" s="271"/>
      <c r="M15" s="271"/>
      <c r="N15" s="153">
        <f>SUMPRODUCT($F$6:$M$6,F15:M15)</f>
        <v>0</v>
      </c>
    </row>
    <row r="16" spans="1:14">
      <c r="A16" s="152">
        <v>2.2000000000000002</v>
      </c>
      <c r="B16" s="100" t="s">
        <v>80</v>
      </c>
      <c r="C16" s="271"/>
      <c r="D16" s="99">
        <v>0.01</v>
      </c>
      <c r="E16" s="273">
        <f>C16*D16</f>
        <v>0</v>
      </c>
      <c r="F16" s="271"/>
      <c r="G16" s="271"/>
      <c r="H16" s="271"/>
      <c r="I16" s="271"/>
      <c r="J16" s="271"/>
      <c r="K16" s="271"/>
      <c r="L16" s="271"/>
      <c r="M16" s="271"/>
      <c r="N16" s="153">
        <f t="shared" ref="N16:N20" si="3">SUMPRODUCT($F$6:$M$6,F16:M16)</f>
        <v>0</v>
      </c>
    </row>
    <row r="17" spans="1:14">
      <c r="A17" s="152">
        <v>2.2999999999999998</v>
      </c>
      <c r="B17" s="100" t="s">
        <v>81</v>
      </c>
      <c r="C17" s="271"/>
      <c r="D17" s="99">
        <v>0.02</v>
      </c>
      <c r="E17" s="273">
        <f>C17*D17</f>
        <v>0</v>
      </c>
      <c r="F17" s="271"/>
      <c r="G17" s="271"/>
      <c r="H17" s="271"/>
      <c r="I17" s="271"/>
      <c r="J17" s="271"/>
      <c r="K17" s="271"/>
      <c r="L17" s="271"/>
      <c r="M17" s="271"/>
      <c r="N17" s="153">
        <f t="shared" si="3"/>
        <v>0</v>
      </c>
    </row>
    <row r="18" spans="1:14">
      <c r="A18" s="152">
        <v>2.4</v>
      </c>
      <c r="B18" s="100" t="s">
        <v>82</v>
      </c>
      <c r="C18" s="271"/>
      <c r="D18" s="99">
        <v>0.03</v>
      </c>
      <c r="E18" s="273">
        <f>C18*D18</f>
        <v>0</v>
      </c>
      <c r="F18" s="271"/>
      <c r="G18" s="271"/>
      <c r="H18" s="271"/>
      <c r="I18" s="271"/>
      <c r="J18" s="271"/>
      <c r="K18" s="271"/>
      <c r="L18" s="271"/>
      <c r="M18" s="271"/>
      <c r="N18" s="153">
        <f t="shared" si="3"/>
        <v>0</v>
      </c>
    </row>
    <row r="19" spans="1:14">
      <c r="A19" s="152">
        <v>2.5</v>
      </c>
      <c r="B19" s="100" t="s">
        <v>83</v>
      </c>
      <c r="C19" s="271"/>
      <c r="D19" s="99">
        <v>0.04</v>
      </c>
      <c r="E19" s="273">
        <f>C19*D19</f>
        <v>0</v>
      </c>
      <c r="F19" s="271"/>
      <c r="G19" s="271"/>
      <c r="H19" s="271"/>
      <c r="I19" s="271"/>
      <c r="J19" s="271"/>
      <c r="K19" s="271"/>
      <c r="L19" s="271"/>
      <c r="M19" s="271"/>
      <c r="N19" s="153">
        <f t="shared" si="3"/>
        <v>0</v>
      </c>
    </row>
    <row r="20" spans="1:14">
      <c r="A20" s="152">
        <v>2.6</v>
      </c>
      <c r="B20" s="100" t="s">
        <v>84</v>
      </c>
      <c r="C20" s="271"/>
      <c r="D20" s="101"/>
      <c r="E20" s="274"/>
      <c r="F20" s="271"/>
      <c r="G20" s="271"/>
      <c r="H20" s="271"/>
      <c r="I20" s="271"/>
      <c r="J20" s="271"/>
      <c r="K20" s="271"/>
      <c r="L20" s="271"/>
      <c r="M20" s="271"/>
      <c r="N20" s="153">
        <f t="shared" si="3"/>
        <v>0</v>
      </c>
    </row>
    <row r="21" spans="1:14" ht="15.75" thickBot="1">
      <c r="A21" s="154">
        <v>3</v>
      </c>
      <c r="B21" s="155" t="s">
        <v>68</v>
      </c>
      <c r="C21" s="272">
        <f>C14+C7</f>
        <v>170967056</v>
      </c>
      <c r="D21" s="156"/>
      <c r="E21" s="275">
        <f>E14+E7</f>
        <v>3419341.12</v>
      </c>
      <c r="F21" s="276">
        <f>F7+F14</f>
        <v>0</v>
      </c>
      <c r="G21" s="276">
        <f t="shared" ref="G21:L21" si="4">G7+G14</f>
        <v>0</v>
      </c>
      <c r="H21" s="276">
        <f t="shared" si="4"/>
        <v>0</v>
      </c>
      <c r="I21" s="276">
        <f t="shared" si="4"/>
        <v>0</v>
      </c>
      <c r="J21" s="276">
        <f t="shared" si="4"/>
        <v>0</v>
      </c>
      <c r="K21" s="276">
        <f t="shared" si="4"/>
        <v>3419341.12</v>
      </c>
      <c r="L21" s="276">
        <f t="shared" si="4"/>
        <v>0</v>
      </c>
      <c r="M21" s="276">
        <f>M7+M14</f>
        <v>0</v>
      </c>
      <c r="N21" s="157">
        <f>N14+N7</f>
        <v>3419341.12</v>
      </c>
    </row>
    <row r="22" spans="1:14">
      <c r="E22" s="277"/>
      <c r="F22" s="277"/>
      <c r="G22" s="277"/>
      <c r="H22" s="277"/>
      <c r="I22" s="277"/>
      <c r="J22" s="277"/>
      <c r="K22" s="277"/>
      <c r="L22" s="277"/>
      <c r="M22" s="277"/>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workbookViewId="0">
      <selection activeCell="C6" sqref="C6"/>
    </sheetView>
  </sheetViews>
  <sheetFormatPr defaultRowHeight="15"/>
  <cols>
    <col min="1" max="1" width="11.42578125" customWidth="1"/>
    <col min="2" max="2" width="76.85546875" style="2" customWidth="1"/>
    <col min="3" max="3" width="22.85546875" customWidth="1"/>
  </cols>
  <sheetData>
    <row r="1" spans="1:3">
      <c r="A1" s="1" t="s">
        <v>188</v>
      </c>
      <c r="B1" t="str">
        <f>Info!C2</f>
        <v>სს "კრედო ბანკი"</v>
      </c>
    </row>
    <row r="2" spans="1:3">
      <c r="A2" s="1" t="s">
        <v>189</v>
      </c>
      <c r="B2" s="434">
        <f>'1. key ratios'!B2</f>
        <v>44926</v>
      </c>
    </row>
    <row r="3" spans="1:3">
      <c r="A3" s="1"/>
      <c r="B3"/>
    </row>
    <row r="4" spans="1:3">
      <c r="A4" s="1" t="s">
        <v>467</v>
      </c>
      <c r="B4" t="s">
        <v>426</v>
      </c>
    </row>
    <row r="5" spans="1:3">
      <c r="A5" s="366"/>
      <c r="B5" s="366" t="s">
        <v>427</v>
      </c>
      <c r="C5" s="378"/>
    </row>
    <row r="6" spans="1:3">
      <c r="A6" s="367">
        <v>1</v>
      </c>
      <c r="B6" s="379" t="s">
        <v>479</v>
      </c>
      <c r="C6" s="380">
        <v>2238008498.3855805</v>
      </c>
    </row>
    <row r="7" spans="1:3">
      <c r="A7" s="367">
        <v>2</v>
      </c>
      <c r="B7" s="379" t="s">
        <v>428</v>
      </c>
      <c r="C7" s="380">
        <v>-15450728</v>
      </c>
    </row>
    <row r="8" spans="1:3">
      <c r="A8" s="368">
        <v>3</v>
      </c>
      <c r="B8" s="381" t="s">
        <v>429</v>
      </c>
      <c r="C8" s="382">
        <f>C6+C7</f>
        <v>2222557770.3855805</v>
      </c>
    </row>
    <row r="9" spans="1:3">
      <c r="A9" s="369"/>
      <c r="B9" s="369" t="s">
        <v>430</v>
      </c>
      <c r="C9" s="383"/>
    </row>
    <row r="10" spans="1:3">
      <c r="A10" s="370">
        <v>4</v>
      </c>
      <c r="B10" s="384" t="s">
        <v>431</v>
      </c>
      <c r="C10" s="380"/>
    </row>
    <row r="11" spans="1:3">
      <c r="A11" s="370">
        <v>5</v>
      </c>
      <c r="B11" s="385" t="s">
        <v>432</v>
      </c>
      <c r="C11" s="380"/>
    </row>
    <row r="12" spans="1:3">
      <c r="A12" s="370" t="s">
        <v>433</v>
      </c>
      <c r="B12" s="379" t="s">
        <v>434</v>
      </c>
      <c r="C12" s="382">
        <f>'15. CCR'!E21</f>
        <v>3419341.12</v>
      </c>
    </row>
    <row r="13" spans="1:3">
      <c r="A13" s="371">
        <v>6</v>
      </c>
      <c r="B13" s="386" t="s">
        <v>435</v>
      </c>
      <c r="C13" s="380"/>
    </row>
    <row r="14" spans="1:3">
      <c r="A14" s="371">
        <v>7</v>
      </c>
      <c r="B14" s="387" t="s">
        <v>436</v>
      </c>
      <c r="C14" s="380"/>
    </row>
    <row r="15" spans="1:3">
      <c r="A15" s="372">
        <v>8</v>
      </c>
      <c r="B15" s="379" t="s">
        <v>437</v>
      </c>
      <c r="C15" s="380"/>
    </row>
    <row r="16" spans="1:3" ht="24">
      <c r="A16" s="371">
        <v>9</v>
      </c>
      <c r="B16" s="387" t="s">
        <v>438</v>
      </c>
      <c r="C16" s="380"/>
    </row>
    <row r="17" spans="1:3">
      <c r="A17" s="371">
        <v>10</v>
      </c>
      <c r="B17" s="387" t="s">
        <v>439</v>
      </c>
      <c r="C17" s="380"/>
    </row>
    <row r="18" spans="1:3">
      <c r="A18" s="373">
        <v>11</v>
      </c>
      <c r="B18" s="388" t="s">
        <v>440</v>
      </c>
      <c r="C18" s="382">
        <f>SUM(C10:C17)</f>
        <v>3419341.12</v>
      </c>
    </row>
    <row r="19" spans="1:3">
      <c r="A19" s="369"/>
      <c r="B19" s="369" t="s">
        <v>441</v>
      </c>
      <c r="C19" s="389"/>
    </row>
    <row r="20" spans="1:3">
      <c r="A20" s="371">
        <v>12</v>
      </c>
      <c r="B20" s="384" t="s">
        <v>442</v>
      </c>
      <c r="C20" s="380"/>
    </row>
    <row r="21" spans="1:3">
      <c r="A21" s="371">
        <v>13</v>
      </c>
      <c r="B21" s="384" t="s">
        <v>443</v>
      </c>
      <c r="C21" s="380"/>
    </row>
    <row r="22" spans="1:3">
      <c r="A22" s="371">
        <v>14</v>
      </c>
      <c r="B22" s="384" t="s">
        <v>444</v>
      </c>
      <c r="C22" s="380"/>
    </row>
    <row r="23" spans="1:3" ht="24">
      <c r="A23" s="371" t="s">
        <v>445</v>
      </c>
      <c r="B23" s="384" t="s">
        <v>446</v>
      </c>
      <c r="C23" s="380"/>
    </row>
    <row r="24" spans="1:3">
      <c r="A24" s="371">
        <v>15</v>
      </c>
      <c r="B24" s="384" t="s">
        <v>447</v>
      </c>
      <c r="C24" s="380"/>
    </row>
    <row r="25" spans="1:3">
      <c r="A25" s="371" t="s">
        <v>448</v>
      </c>
      <c r="B25" s="379" t="s">
        <v>449</v>
      </c>
      <c r="C25" s="380"/>
    </row>
    <row r="26" spans="1:3">
      <c r="A26" s="373">
        <v>16</v>
      </c>
      <c r="B26" s="388" t="s">
        <v>450</v>
      </c>
      <c r="C26" s="382">
        <f>SUM(C20:C25)</f>
        <v>0</v>
      </c>
    </row>
    <row r="27" spans="1:3">
      <c r="A27" s="369"/>
      <c r="B27" s="369" t="s">
        <v>451</v>
      </c>
      <c r="C27" s="383"/>
    </row>
    <row r="28" spans="1:3">
      <c r="A28" s="370">
        <v>17</v>
      </c>
      <c r="B28" s="379" t="s">
        <v>452</v>
      </c>
      <c r="C28" s="380">
        <v>45297232.469999999</v>
      </c>
    </row>
    <row r="29" spans="1:3">
      <c r="A29" s="370">
        <v>18</v>
      </c>
      <c r="B29" s="379" t="s">
        <v>453</v>
      </c>
      <c r="C29" s="380">
        <v>-25127984.969999999</v>
      </c>
    </row>
    <row r="30" spans="1:3">
      <c r="A30" s="373">
        <v>19</v>
      </c>
      <c r="B30" s="388" t="s">
        <v>454</v>
      </c>
      <c r="C30" s="638">
        <f>C28+C29</f>
        <v>20169247.5</v>
      </c>
    </row>
    <row r="31" spans="1:3">
      <c r="A31" s="374"/>
      <c r="B31" s="369" t="s">
        <v>455</v>
      </c>
      <c r="C31" s="383"/>
    </row>
    <row r="32" spans="1:3">
      <c r="A32" s="370" t="s">
        <v>456</v>
      </c>
      <c r="B32" s="384" t="s">
        <v>457</v>
      </c>
      <c r="C32" s="390"/>
    </row>
    <row r="33" spans="1:3">
      <c r="A33" s="370" t="s">
        <v>458</v>
      </c>
      <c r="B33" s="385" t="s">
        <v>459</v>
      </c>
      <c r="C33" s="390"/>
    </row>
    <row r="34" spans="1:3">
      <c r="A34" s="369"/>
      <c r="B34" s="369" t="s">
        <v>460</v>
      </c>
      <c r="C34" s="383"/>
    </row>
    <row r="35" spans="1:3">
      <c r="A35" s="373">
        <v>20</v>
      </c>
      <c r="B35" s="388" t="s">
        <v>89</v>
      </c>
      <c r="C35" s="382">
        <f>'1. key ratios'!C9</f>
        <v>214666012.51999971</v>
      </c>
    </row>
    <row r="36" spans="1:3">
      <c r="A36" s="373">
        <v>21</v>
      </c>
      <c r="B36" s="388" t="s">
        <v>461</v>
      </c>
      <c r="C36" s="382">
        <f>C8+C18+C26+C30</f>
        <v>2246146359.0055804</v>
      </c>
    </row>
    <row r="37" spans="1:3">
      <c r="A37" s="375"/>
      <c r="B37" s="375" t="s">
        <v>426</v>
      </c>
      <c r="C37" s="383"/>
    </row>
    <row r="38" spans="1:3">
      <c r="A38" s="373">
        <v>22</v>
      </c>
      <c r="B38" s="388" t="s">
        <v>426</v>
      </c>
      <c r="C38" s="565">
        <f>IFERROR(C35/C36,0)</f>
        <v>9.5570803594044157E-2</v>
      </c>
    </row>
    <row r="39" spans="1:3">
      <c r="A39" s="375"/>
      <c r="B39" s="375" t="s">
        <v>462</v>
      </c>
      <c r="C39" s="383"/>
    </row>
    <row r="40" spans="1:3">
      <c r="A40" s="376" t="s">
        <v>463</v>
      </c>
      <c r="B40" s="384" t="s">
        <v>464</v>
      </c>
      <c r="C40" s="390"/>
    </row>
    <row r="41" spans="1:3">
      <c r="A41" s="377" t="s">
        <v>465</v>
      </c>
      <c r="B41" s="385" t="s">
        <v>466</v>
      </c>
      <c r="C41" s="390"/>
    </row>
    <row r="43" spans="1:3">
      <c r="B43" s="401" t="s">
        <v>480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2"/>
  <sheetViews>
    <sheetView tabSelected="1" zoomScale="90" zoomScaleNormal="90" workbookViewId="0">
      <pane xSplit="2" ySplit="6" topLeftCell="C13" activePane="bottomRight" state="frozen"/>
      <selection pane="topRight" activeCell="C1" sqref="C1"/>
      <selection pane="bottomLeft" activeCell="A7" sqref="A7"/>
      <selection pane="bottomRight" activeCell="F18" sqref="F18"/>
    </sheetView>
  </sheetViews>
  <sheetFormatPr defaultRowHeight="15"/>
  <cols>
    <col min="1" max="1" width="9.85546875" style="1" bestFit="1" customWidth="1"/>
    <col min="2" max="2" width="82.5703125" style="17" customWidth="1"/>
    <col min="3" max="7" width="17.5703125" style="1" customWidth="1"/>
    <col min="9" max="9" width="17.7109375" bestFit="1" customWidth="1"/>
  </cols>
  <sheetData>
    <row r="1" spans="1:9">
      <c r="A1" s="1" t="s">
        <v>188</v>
      </c>
      <c r="B1" s="1" t="str">
        <f>Info!C2</f>
        <v>სს "კრედო ბანკი"</v>
      </c>
    </row>
    <row r="2" spans="1:9">
      <c r="A2" s="1" t="s">
        <v>189</v>
      </c>
      <c r="B2" s="434">
        <f>'1. key ratios'!B2</f>
        <v>44926</v>
      </c>
    </row>
    <row r="3" spans="1:9">
      <c r="B3" s="434"/>
    </row>
    <row r="4" spans="1:9" ht="15.75" thickBot="1">
      <c r="A4" s="1" t="s">
        <v>529</v>
      </c>
      <c r="B4" s="285" t="s">
        <v>494</v>
      </c>
    </row>
    <row r="5" spans="1:9">
      <c r="A5" s="437"/>
      <c r="B5" s="438"/>
      <c r="C5" s="695" t="s">
        <v>495</v>
      </c>
      <c r="D5" s="695"/>
      <c r="E5" s="695"/>
      <c r="F5" s="695"/>
      <c r="G5" s="696" t="s">
        <v>496</v>
      </c>
    </row>
    <row r="6" spans="1:9">
      <c r="A6" s="439"/>
      <c r="B6" s="440"/>
      <c r="C6" s="441" t="s">
        <v>497</v>
      </c>
      <c r="D6" s="441" t="s">
        <v>498</v>
      </c>
      <c r="E6" s="441" t="s">
        <v>499</v>
      </c>
      <c r="F6" s="441" t="s">
        <v>500</v>
      </c>
      <c r="G6" s="697"/>
    </row>
    <row r="7" spans="1:9">
      <c r="A7" s="442"/>
      <c r="B7" s="443" t="s">
        <v>501</v>
      </c>
      <c r="C7" s="444"/>
      <c r="D7" s="444"/>
      <c r="E7" s="444"/>
      <c r="F7" s="444"/>
      <c r="G7" s="445"/>
    </row>
    <row r="8" spans="1:9">
      <c r="A8" s="446">
        <v>1</v>
      </c>
      <c r="B8" s="447" t="s">
        <v>502</v>
      </c>
      <c r="C8" s="607">
        <f>SUM(C9:C10)</f>
        <v>214666012.51999974</v>
      </c>
      <c r="D8" s="607">
        <f>SUM(D9:D10)</f>
        <v>0</v>
      </c>
      <c r="E8" s="607">
        <f>SUM(E9:E10)</f>
        <v>0</v>
      </c>
      <c r="F8" s="607">
        <f>SUM(F9:F10)</f>
        <v>912431356.58000004</v>
      </c>
      <c r="G8" s="455">
        <f>SUM(G9:G10)</f>
        <v>1127097369.0999999</v>
      </c>
    </row>
    <row r="9" spans="1:9">
      <c r="A9" s="446">
        <v>2</v>
      </c>
      <c r="B9" s="450" t="s">
        <v>88</v>
      </c>
      <c r="C9" s="448">
        <v>214666012.51999974</v>
      </c>
      <c r="D9" s="448"/>
      <c r="E9" s="448"/>
      <c r="F9" s="448">
        <v>67381040</v>
      </c>
      <c r="G9" s="449">
        <f>SUM(C9:F9)</f>
        <v>282047052.51999974</v>
      </c>
    </row>
    <row r="10" spans="1:9">
      <c r="A10" s="446">
        <v>3</v>
      </c>
      <c r="B10" s="450" t="s">
        <v>503</v>
      </c>
      <c r="C10" s="451"/>
      <c r="D10" s="451"/>
      <c r="E10" s="451"/>
      <c r="F10" s="448">
        <v>845050316.58000004</v>
      </c>
      <c r="G10" s="449">
        <f>SUM(C10:F10)</f>
        <v>845050316.58000004</v>
      </c>
    </row>
    <row r="11" spans="1:9" ht="26.25">
      <c r="A11" s="446">
        <v>4</v>
      </c>
      <c r="B11" s="447" t="s">
        <v>504</v>
      </c>
      <c r="C11" s="607">
        <f t="shared" ref="C11:F11" si="0">SUM(C12:C13)</f>
        <v>172310880.10089946</v>
      </c>
      <c r="D11" s="607">
        <f t="shared" si="0"/>
        <v>140712015.77029979</v>
      </c>
      <c r="E11" s="607">
        <f t="shared" si="0"/>
        <v>96078884.333299935</v>
      </c>
      <c r="F11" s="607">
        <f t="shared" si="0"/>
        <v>11664321.938399978</v>
      </c>
      <c r="G11" s="455">
        <f>SUM(G12:G13)</f>
        <v>343597252.33497918</v>
      </c>
    </row>
    <row r="12" spans="1:9">
      <c r="A12" s="446">
        <v>5</v>
      </c>
      <c r="B12" s="450" t="s">
        <v>505</v>
      </c>
      <c r="C12" s="448">
        <v>81304613.100899443</v>
      </c>
      <c r="D12" s="461">
        <v>117213211.90439983</v>
      </c>
      <c r="E12" s="460">
        <v>87609312.295899943</v>
      </c>
      <c r="F12" s="460">
        <v>9904421.0621999782</v>
      </c>
      <c r="G12" s="449">
        <f>SUM(C12:F12)*0.95</f>
        <v>281229980.44522917</v>
      </c>
      <c r="I12" s="624"/>
    </row>
    <row r="13" spans="1:9">
      <c r="A13" s="446">
        <v>6</v>
      </c>
      <c r="B13" s="450" t="s">
        <v>506</v>
      </c>
      <c r="C13" s="448">
        <v>91006267</v>
      </c>
      <c r="D13" s="461">
        <v>23498803.865899976</v>
      </c>
      <c r="E13" s="460">
        <v>8469572.0373999998</v>
      </c>
      <c r="F13" s="460">
        <v>1759900.8761999998</v>
      </c>
      <c r="G13" s="449">
        <f>SUM(C13:F13)*0.5</f>
        <v>62367271.889749996</v>
      </c>
      <c r="I13" s="624"/>
    </row>
    <row r="14" spans="1:9">
      <c r="A14" s="446">
        <v>7</v>
      </c>
      <c r="B14" s="447" t="s">
        <v>507</v>
      </c>
      <c r="C14" s="607">
        <f t="shared" ref="C14:F14" si="1">SUM(C15:C16)</f>
        <v>52922207</v>
      </c>
      <c r="D14" s="607">
        <f t="shared" si="1"/>
        <v>278474382.80000001</v>
      </c>
      <c r="E14" s="607">
        <f t="shared" si="1"/>
        <v>175112400.19</v>
      </c>
      <c r="F14" s="607">
        <f t="shared" si="1"/>
        <v>290600</v>
      </c>
      <c r="G14" s="455">
        <f>SUM(G15:G16)</f>
        <v>162968666.495</v>
      </c>
    </row>
    <row r="15" spans="1:9" ht="51.75">
      <c r="A15" s="446">
        <v>8</v>
      </c>
      <c r="B15" s="450" t="s">
        <v>508</v>
      </c>
      <c r="C15" s="448">
        <v>52922207</v>
      </c>
      <c r="D15" s="566">
        <f>78076292.8+19535833</f>
        <v>97612125.799999997</v>
      </c>
      <c r="E15" s="448">
        <f>73724333.19+12614278</f>
        <v>86338611.189999998</v>
      </c>
      <c r="F15" s="448">
        <f>290600</f>
        <v>290600</v>
      </c>
      <c r="G15" s="449">
        <f>SUM(C15:F15)*0.5</f>
        <v>118581771.995</v>
      </c>
      <c r="I15" s="625"/>
    </row>
    <row r="16" spans="1:9" ht="26.25">
      <c r="A16" s="446">
        <v>9</v>
      </c>
      <c r="B16" s="450" t="s">
        <v>509</v>
      </c>
      <c r="C16" s="448"/>
      <c r="D16" s="566">
        <v>180862257</v>
      </c>
      <c r="E16" s="566">
        <v>88773789</v>
      </c>
      <c r="F16" s="448"/>
      <c r="G16" s="449">
        <f>E16*50%</f>
        <v>44386894.5</v>
      </c>
    </row>
    <row r="17" spans="1:9">
      <c r="A17" s="446">
        <v>10</v>
      </c>
      <c r="B17" s="447" t="s">
        <v>510</v>
      </c>
      <c r="C17" s="448"/>
      <c r="D17" s="452"/>
      <c r="E17" s="448"/>
      <c r="F17" s="448"/>
      <c r="G17" s="449"/>
      <c r="I17" s="625"/>
    </row>
    <row r="18" spans="1:9">
      <c r="A18" s="446">
        <v>11</v>
      </c>
      <c r="B18" s="447" t="s">
        <v>95</v>
      </c>
      <c r="C18" s="628">
        <f>SUM(C19:C20)</f>
        <v>85069312.295430005</v>
      </c>
      <c r="D18" s="629">
        <f t="shared" ref="D18:G18" si="2">SUM(D19:D20)</f>
        <v>18761324.104570001</v>
      </c>
      <c r="E18" s="628">
        <f t="shared" si="2"/>
        <v>1000940.6590273976</v>
      </c>
      <c r="F18" s="628">
        <f t="shared" si="2"/>
        <v>33975445.350000001</v>
      </c>
      <c r="G18" s="449">
        <f t="shared" si="2"/>
        <v>0</v>
      </c>
      <c r="I18" s="633"/>
    </row>
    <row r="19" spans="1:9">
      <c r="A19" s="446">
        <v>12</v>
      </c>
      <c r="B19" s="450" t="s">
        <v>511</v>
      </c>
      <c r="C19" s="451"/>
      <c r="D19" s="452">
        <v>4897936.400000006</v>
      </c>
      <c r="E19" s="448"/>
      <c r="F19" s="448"/>
      <c r="G19" s="449">
        <f>SUM(C19:F19)*0</f>
        <v>0</v>
      </c>
      <c r="I19" s="627"/>
    </row>
    <row r="20" spans="1:9" ht="26.25">
      <c r="A20" s="446">
        <v>13</v>
      </c>
      <c r="B20" s="450" t="s">
        <v>512</v>
      </c>
      <c r="C20" s="460">
        <v>85069312.295430005</v>
      </c>
      <c r="D20" s="460">
        <v>13863387.704569995</v>
      </c>
      <c r="E20" s="460">
        <v>1000940.6590273976</v>
      </c>
      <c r="F20" s="460">
        <v>33975445.350000001</v>
      </c>
      <c r="G20" s="449">
        <f>SUM(C20:F20)*0</f>
        <v>0</v>
      </c>
    </row>
    <row r="21" spans="1:9">
      <c r="A21" s="453">
        <v>14</v>
      </c>
      <c r="B21" s="454" t="s">
        <v>513</v>
      </c>
      <c r="C21" s="451"/>
      <c r="D21" s="451"/>
      <c r="E21" s="451"/>
      <c r="F21" s="451"/>
      <c r="G21" s="455">
        <f>SUM(G8,G11,G14,G17,G18)</f>
        <v>1633663287.9299788</v>
      </c>
    </row>
    <row r="22" spans="1:9">
      <c r="A22" s="456"/>
      <c r="B22" s="475" t="s">
        <v>514</v>
      </c>
      <c r="C22" s="457"/>
      <c r="D22" s="458"/>
      <c r="E22" s="457"/>
      <c r="F22" s="457"/>
      <c r="G22" s="459"/>
    </row>
    <row r="23" spans="1:9">
      <c r="A23" s="446">
        <v>15</v>
      </c>
      <c r="B23" s="447" t="s">
        <v>371</v>
      </c>
      <c r="C23" s="628">
        <f>298535815+2962709*0.95</f>
        <v>301350388.55000001</v>
      </c>
      <c r="D23" s="629">
        <f>44946000*0.95</f>
        <v>42698700</v>
      </c>
      <c r="E23" s="460"/>
      <c r="F23" s="460"/>
      <c r="G23" s="616">
        <v>7957230.0275000008</v>
      </c>
      <c r="I23" s="626"/>
    </row>
    <row r="24" spans="1:9">
      <c r="A24" s="446">
        <v>16</v>
      </c>
      <c r="B24" s="447" t="s">
        <v>515</v>
      </c>
      <c r="C24" s="607">
        <f>SUM(C25:C27,C29,C31)</f>
        <v>13447.310000000001</v>
      </c>
      <c r="D24" s="608">
        <f t="shared" ref="D24:G24" si="3">SUM(D25:D27,D29,D31)</f>
        <v>389868402.98000002</v>
      </c>
      <c r="E24" s="607">
        <f t="shared" si="3"/>
        <v>340505096.39999998</v>
      </c>
      <c r="F24" s="607">
        <f t="shared" si="3"/>
        <v>937317405.25</v>
      </c>
      <c r="G24" s="642">
        <f t="shared" si="3"/>
        <v>1161908561.2489998</v>
      </c>
      <c r="I24" s="626"/>
    </row>
    <row r="25" spans="1:9" ht="26.25">
      <c r="A25" s="446">
        <v>17</v>
      </c>
      <c r="B25" s="450" t="s">
        <v>516</v>
      </c>
      <c r="C25" s="448"/>
      <c r="D25" s="452"/>
      <c r="E25" s="448"/>
      <c r="F25" s="448"/>
      <c r="G25" s="449"/>
      <c r="I25" s="626"/>
    </row>
    <row r="26" spans="1:9" ht="39">
      <c r="A26" s="446">
        <v>18</v>
      </c>
      <c r="B26" s="450" t="s">
        <v>517</v>
      </c>
      <c r="C26" s="566">
        <v>13447.310000000001</v>
      </c>
      <c r="D26" s="566"/>
      <c r="E26" s="566"/>
      <c r="F26" s="566"/>
      <c r="G26" s="615">
        <f>C26*0.15+D26*0.05</f>
        <v>2017.0965000000001</v>
      </c>
    </row>
    <row r="27" spans="1:9">
      <c r="A27" s="446">
        <v>19</v>
      </c>
      <c r="B27" s="450" t="s">
        <v>518</v>
      </c>
      <c r="C27" s="448"/>
      <c r="D27" s="452">
        <v>389868402.98000002</v>
      </c>
      <c r="E27" s="448">
        <v>340505096.39999998</v>
      </c>
      <c r="F27" s="448">
        <v>934921969.79999995</v>
      </c>
      <c r="G27" s="616">
        <f>(D27+E27)*0.5+F27*0.85</f>
        <v>1159870424.02</v>
      </c>
      <c r="I27" s="625"/>
    </row>
    <row r="28" spans="1:9">
      <c r="A28" s="446">
        <v>20</v>
      </c>
      <c r="B28" s="462" t="s">
        <v>519</v>
      </c>
      <c r="C28" s="448"/>
      <c r="D28" s="452"/>
      <c r="E28" s="448"/>
      <c r="F28" s="448"/>
      <c r="G28" s="616"/>
    </row>
    <row r="29" spans="1:9">
      <c r="A29" s="446">
        <v>21</v>
      </c>
      <c r="B29" s="450" t="s">
        <v>520</v>
      </c>
      <c r="C29" s="448"/>
      <c r="D29" s="452"/>
      <c r="E29" s="448"/>
      <c r="F29" s="448"/>
      <c r="G29" s="616"/>
    </row>
    <row r="30" spans="1:9">
      <c r="A30" s="446">
        <v>22</v>
      </c>
      <c r="B30" s="462" t="s">
        <v>519</v>
      </c>
      <c r="C30" s="448"/>
      <c r="D30" s="452"/>
      <c r="E30" s="448"/>
      <c r="F30" s="448"/>
      <c r="G30" s="616"/>
    </row>
    <row r="31" spans="1:9" ht="26.25">
      <c r="A31" s="446">
        <v>23</v>
      </c>
      <c r="B31" s="450" t="s">
        <v>521</v>
      </c>
      <c r="C31" s="448"/>
      <c r="D31" s="452"/>
      <c r="E31" s="448"/>
      <c r="F31" s="448">
        <v>2395435.4500000002</v>
      </c>
      <c r="G31" s="616">
        <f>SUM(C31:F31)*0.85</f>
        <v>2036120.1325000001</v>
      </c>
    </row>
    <row r="32" spans="1:9">
      <c r="A32" s="446">
        <v>24</v>
      </c>
      <c r="B32" s="447" t="s">
        <v>522</v>
      </c>
      <c r="C32" s="448"/>
      <c r="D32" s="452"/>
      <c r="E32" s="448"/>
      <c r="F32" s="448"/>
      <c r="G32" s="449"/>
    </row>
    <row r="33" spans="1:9">
      <c r="A33" s="446">
        <v>25</v>
      </c>
      <c r="B33" s="447" t="s">
        <v>165</v>
      </c>
      <c r="C33" s="607">
        <f>SUM(C34:C35)</f>
        <v>82750707.5</v>
      </c>
      <c r="D33" s="607">
        <f>SUM(D34:D35)</f>
        <v>72345615.969999969</v>
      </c>
      <c r="E33" s="607">
        <f>SUM(E34:E35)</f>
        <v>16108728.25323993</v>
      </c>
      <c r="F33" s="607">
        <f>SUM(F34:F35)</f>
        <v>5613656.7500000447</v>
      </c>
      <c r="G33" s="642">
        <f>SUM(G34:G35)</f>
        <v>130427998</v>
      </c>
      <c r="I33" s="626"/>
    </row>
    <row r="34" spans="1:9">
      <c r="A34" s="446">
        <v>26</v>
      </c>
      <c r="B34" s="450" t="s">
        <v>523</v>
      </c>
      <c r="C34" s="451"/>
      <c r="D34" s="461"/>
      <c r="E34" s="448"/>
      <c r="F34" s="448"/>
      <c r="G34" s="616">
        <f>D34</f>
        <v>0</v>
      </c>
      <c r="I34" s="626"/>
    </row>
    <row r="35" spans="1:9">
      <c r="A35" s="446">
        <v>27</v>
      </c>
      <c r="B35" s="450" t="s">
        <v>524</v>
      </c>
      <c r="C35" s="460">
        <v>82750707.5</v>
      </c>
      <c r="D35" s="461">
        <v>72345615.969999969</v>
      </c>
      <c r="E35" s="460">
        <v>16108728.25323993</v>
      </c>
      <c r="F35" s="460">
        <v>5613656.7500000447</v>
      </c>
      <c r="G35" s="616">
        <v>130427998</v>
      </c>
      <c r="I35" s="625"/>
    </row>
    <row r="36" spans="1:9">
      <c r="A36" s="446">
        <v>28</v>
      </c>
      <c r="B36" s="447" t="s">
        <v>525</v>
      </c>
      <c r="C36" s="448">
        <v>4958737.47</v>
      </c>
      <c r="D36" s="452"/>
      <c r="E36" s="448"/>
      <c r="F36" s="448">
        <v>40338495</v>
      </c>
      <c r="G36" s="616">
        <f>(C36+F36)*0.05</f>
        <v>2264861.6235000002</v>
      </c>
    </row>
    <row r="37" spans="1:9">
      <c r="A37" s="453">
        <v>29</v>
      </c>
      <c r="B37" s="454" t="s">
        <v>526</v>
      </c>
      <c r="C37" s="451"/>
      <c r="D37" s="451"/>
      <c r="E37" s="451"/>
      <c r="F37" s="451"/>
      <c r="G37" s="455">
        <f>SUM(G23:G24,G32:G33,G36)</f>
        <v>1302558650.8999999</v>
      </c>
    </row>
    <row r="38" spans="1:9">
      <c r="A38" s="442"/>
      <c r="B38" s="463"/>
      <c r="C38" s="464"/>
      <c r="D38" s="464"/>
      <c r="E38" s="464"/>
      <c r="F38" s="464"/>
      <c r="G38" s="465"/>
      <c r="I38" s="625"/>
    </row>
    <row r="39" spans="1:9" ht="15.75" thickBot="1">
      <c r="A39" s="466">
        <v>30</v>
      </c>
      <c r="B39" s="467" t="s">
        <v>494</v>
      </c>
      <c r="C39" s="319"/>
      <c r="D39" s="304"/>
      <c r="E39" s="304"/>
      <c r="F39" s="468"/>
      <c r="G39" s="469">
        <f>IFERROR(G21/G37,0)</f>
        <v>1.2541955686995001</v>
      </c>
    </row>
    <row r="42" spans="1:9" ht="39">
      <c r="B42" s="17" t="s">
        <v>527</v>
      </c>
    </row>
  </sheetData>
  <mergeCells count="2">
    <mergeCell ref="C5:F5"/>
    <mergeCell ref="G5: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1"/>
  <sheetViews>
    <sheetView zoomScaleNormal="100" workbookViewId="0">
      <pane xSplit="1" ySplit="5" topLeftCell="B37" activePane="bottomRight" state="frozen"/>
      <selection pane="topRight" activeCell="B1" sqref="B1"/>
      <selection pane="bottomLeft" activeCell="A6" sqref="A6"/>
      <selection pane="bottomRight" activeCell="C30" sqref="C30"/>
    </sheetView>
  </sheetViews>
  <sheetFormatPr defaultRowHeight="15.75"/>
  <cols>
    <col min="1" max="1" width="9.5703125" style="14" bestFit="1" customWidth="1"/>
    <col min="2" max="2" width="88.42578125" style="12" customWidth="1"/>
    <col min="3" max="3" width="12.7109375" style="12" customWidth="1"/>
    <col min="4" max="7" width="12.7109375" style="1" customWidth="1"/>
    <col min="8" max="13" width="6.7109375" customWidth="1"/>
  </cols>
  <sheetData>
    <row r="1" spans="1:7">
      <c r="A1" s="13" t="s">
        <v>188</v>
      </c>
      <c r="B1" s="400" t="str">
        <f>Info!C2</f>
        <v>სს "კრედო ბანკი"</v>
      </c>
    </row>
    <row r="2" spans="1:7">
      <c r="A2" s="13" t="s">
        <v>189</v>
      </c>
      <c r="B2" s="419">
        <v>44926</v>
      </c>
    </row>
    <row r="3" spans="1:7">
      <c r="A3" s="13"/>
    </row>
    <row r="4" spans="1:7" ht="16.5" thickBot="1">
      <c r="A4" s="59" t="s">
        <v>327</v>
      </c>
      <c r="B4" s="189" t="s">
        <v>223</v>
      </c>
      <c r="C4" s="190"/>
      <c r="D4" s="191"/>
      <c r="E4" s="191"/>
      <c r="F4" s="191"/>
      <c r="G4" s="191"/>
    </row>
    <row r="5" spans="1:7" ht="15">
      <c r="A5" s="289" t="s">
        <v>26</v>
      </c>
      <c r="B5" s="290"/>
      <c r="C5" s="420" t="str">
        <f>INT((MONTH($B$2))/3)&amp;"Q"&amp;"-"&amp;YEAR($B$2)</f>
        <v>4Q-2022</v>
      </c>
      <c r="D5" s="420" t="str">
        <f>IF(INT(MONTH($B$2))=3, "4"&amp;"Q"&amp;"-"&amp;YEAR($B$2)-1, IF(INT(MONTH($B$2))=6, "1"&amp;"Q"&amp;"-"&amp;YEAR($B$2), IF(INT(MONTH($B$2))=9, "2"&amp;"Q"&amp;"-"&amp;YEAR($B$2),IF(INT(MONTH($B$2))=12, "3"&amp;"Q"&amp;"-"&amp;YEAR($B$2), 0))))</f>
        <v>3Q-2022</v>
      </c>
      <c r="E5" s="420" t="str">
        <f>IF(INT(MONTH($B$2))=3, "3"&amp;"Q"&amp;"-"&amp;YEAR($B$2)-1, IF(INT(MONTH($B$2))=6, "4"&amp;"Q"&amp;"-"&amp;YEAR($B$2)-1, IF(INT(MONTH($B$2))=9, "1"&amp;"Q"&amp;"-"&amp;YEAR($B$2),IF(INT(MONTH($B$2))=12, "2"&amp;"Q"&amp;"-"&amp;YEAR($B$2), 0))))</f>
        <v>2Q-2022</v>
      </c>
      <c r="F5" s="420" t="str">
        <f>IF(INT(MONTH($B$2))=3, "2"&amp;"Q"&amp;"-"&amp;YEAR($B$2)-1, IF(INT(MONTH($B$2))=6, "3"&amp;"Q"&amp;"-"&amp;YEAR($B$2)-1, IF(INT(MONTH($B$2))=9, "4"&amp;"Q"&amp;"-"&amp;YEAR($B$2)-1,IF(INT(MONTH($B$2))=12, "1"&amp;"Q"&amp;"-"&amp;YEAR($B$2), 0))))</f>
        <v>1Q-2022</v>
      </c>
      <c r="G5" s="421" t="str">
        <f>IF(INT(MONTH($B$2))=3, "1"&amp;"Q"&amp;"-"&amp;YEAR($B$2)-1, IF(INT(MONTH($B$2))=6, "2"&amp;"Q"&amp;"-"&amp;YEAR($B$2)-1, IF(INT(MONTH($B$2))=9, "3"&amp;"Q"&amp;"-"&amp;YEAR($B$2)-1,IF(INT(MONTH($B$2))=12, "4"&amp;"Q"&amp;"-"&amp;YEAR($B$2)-1, 0))))</f>
        <v>4Q-2021</v>
      </c>
    </row>
    <row r="6" spans="1:7" ht="15">
      <c r="A6" s="422"/>
      <c r="B6" s="423" t="s">
        <v>186</v>
      </c>
      <c r="C6" s="291"/>
      <c r="D6" s="291"/>
      <c r="E6" s="291"/>
      <c r="F6" s="291"/>
      <c r="G6" s="292"/>
    </row>
    <row r="7" spans="1:7" ht="15">
      <c r="A7" s="422"/>
      <c r="B7" s="424" t="s">
        <v>190</v>
      </c>
      <c r="C7" s="291"/>
      <c r="D7" s="291"/>
      <c r="E7" s="291"/>
      <c r="F7" s="291"/>
      <c r="G7" s="292"/>
    </row>
    <row r="8" spans="1:7" ht="15">
      <c r="A8" s="404">
        <v>1</v>
      </c>
      <c r="B8" s="405" t="s">
        <v>23</v>
      </c>
      <c r="C8" s="651">
        <v>214666012.51999971</v>
      </c>
      <c r="D8" s="426">
        <v>207106305.80000001</v>
      </c>
      <c r="E8" s="426">
        <v>198409430.91999987</v>
      </c>
      <c r="F8" s="426">
        <v>197489453.98000044</v>
      </c>
      <c r="G8" s="427">
        <v>190970466.01999995</v>
      </c>
    </row>
    <row r="9" spans="1:7" ht="15">
      <c r="A9" s="404">
        <v>2</v>
      </c>
      <c r="B9" s="405" t="s">
        <v>89</v>
      </c>
      <c r="C9" s="651">
        <v>214666012.51999971</v>
      </c>
      <c r="D9" s="426">
        <v>207106305.80000001</v>
      </c>
      <c r="E9" s="426">
        <v>198409430.91999987</v>
      </c>
      <c r="F9" s="426">
        <v>197489453.98000044</v>
      </c>
      <c r="G9" s="427">
        <v>190970466.01999995</v>
      </c>
    </row>
    <row r="10" spans="1:7" ht="15">
      <c r="A10" s="404">
        <v>3</v>
      </c>
      <c r="B10" s="405" t="s">
        <v>88</v>
      </c>
      <c r="C10" s="651">
        <v>302188638.76197034</v>
      </c>
      <c r="D10" s="426">
        <v>294906529.86733359</v>
      </c>
      <c r="E10" s="426">
        <v>287989939.18361312</v>
      </c>
      <c r="F10" s="426">
        <v>282429451.49236441</v>
      </c>
      <c r="G10" s="427">
        <v>275919553.95755643</v>
      </c>
    </row>
    <row r="11" spans="1:7" ht="15">
      <c r="A11" s="404">
        <v>4</v>
      </c>
      <c r="B11" s="405" t="s">
        <v>485</v>
      </c>
      <c r="C11" s="425">
        <v>168546471.01320142</v>
      </c>
      <c r="D11" s="426">
        <v>155187807.28500125</v>
      </c>
      <c r="E11" s="426">
        <v>148367492.45126465</v>
      </c>
      <c r="F11" s="426">
        <v>139475312.33826685</v>
      </c>
      <c r="G11" s="427">
        <v>133444721.91963258</v>
      </c>
    </row>
    <row r="12" spans="1:7" ht="15">
      <c r="A12" s="404">
        <v>5</v>
      </c>
      <c r="B12" s="405" t="s">
        <v>486</v>
      </c>
      <c r="C12" s="425">
        <v>208103387.59380776</v>
      </c>
      <c r="D12" s="426">
        <v>191591817.26351747</v>
      </c>
      <c r="E12" s="426">
        <v>183166203.41896465</v>
      </c>
      <c r="F12" s="426">
        <v>172176573.46557817</v>
      </c>
      <c r="G12" s="427">
        <v>164232533.09510088</v>
      </c>
    </row>
    <row r="13" spans="1:7" ht="15">
      <c r="A13" s="404">
        <v>6</v>
      </c>
      <c r="B13" s="405" t="s">
        <v>487</v>
      </c>
      <c r="C13" s="425">
        <v>272011178.0017516</v>
      </c>
      <c r="D13" s="426">
        <v>250423017.24919254</v>
      </c>
      <c r="E13" s="426">
        <v>239408379.65133566</v>
      </c>
      <c r="F13" s="426">
        <v>225040345.25436014</v>
      </c>
      <c r="G13" s="427">
        <v>226769539.88382533</v>
      </c>
    </row>
    <row r="14" spans="1:7" ht="15">
      <c r="A14" s="422"/>
      <c r="B14" s="423" t="s">
        <v>489</v>
      </c>
      <c r="C14" s="291"/>
      <c r="D14" s="291"/>
      <c r="E14" s="291"/>
      <c r="F14" s="291"/>
      <c r="G14" s="292"/>
    </row>
    <row r="15" spans="1:7" ht="15" customHeight="1">
      <c r="A15" s="404">
        <v>7</v>
      </c>
      <c r="B15" s="405" t="s">
        <v>488</v>
      </c>
      <c r="C15" s="428">
        <v>1997562971.9483364</v>
      </c>
      <c r="D15" s="426">
        <v>1841246012.9868748</v>
      </c>
      <c r="E15" s="426">
        <v>1760935941.6892467</v>
      </c>
      <c r="F15" s="426">
        <v>1656738792.5893064</v>
      </c>
      <c r="G15" s="427">
        <v>1646372343.0332627</v>
      </c>
    </row>
    <row r="16" spans="1:7" ht="15">
      <c r="A16" s="422"/>
      <c r="B16" s="423" t="s">
        <v>493</v>
      </c>
      <c r="C16" s="291"/>
      <c r="D16" s="291"/>
      <c r="E16" s="291"/>
      <c r="F16" s="291"/>
      <c r="G16" s="292"/>
    </row>
    <row r="17" spans="1:7" ht="15">
      <c r="A17" s="404"/>
      <c r="B17" s="424" t="s">
        <v>474</v>
      </c>
      <c r="C17" s="291"/>
      <c r="D17" s="291"/>
      <c r="E17" s="291"/>
      <c r="F17" s="291"/>
      <c r="G17" s="292"/>
    </row>
    <row r="18" spans="1:7" ht="15">
      <c r="A18" s="404">
        <v>8</v>
      </c>
      <c r="B18" s="405" t="s">
        <v>483</v>
      </c>
      <c r="C18" s="435">
        <v>0.10746395259350637</v>
      </c>
      <c r="D18" s="435">
        <v>0.11248160448914241</v>
      </c>
      <c r="E18" s="436">
        <v>0.11267271353986213</v>
      </c>
      <c r="F18" s="436">
        <v>0.11920373619751212</v>
      </c>
      <c r="G18" s="436">
        <v>0.11600555535699156</v>
      </c>
    </row>
    <row r="19" spans="1:7" ht="15" customHeight="1">
      <c r="A19" s="404">
        <v>9</v>
      </c>
      <c r="B19" s="405" t="s">
        <v>482</v>
      </c>
      <c r="C19" s="435">
        <v>0.10746395259350637</v>
      </c>
      <c r="D19" s="435">
        <v>0.11248160448914241</v>
      </c>
      <c r="E19" s="436">
        <v>0.11267271353986213</v>
      </c>
      <c r="F19" s="436">
        <v>0.11920373619751212</v>
      </c>
      <c r="G19" s="436">
        <v>0.11600555535699156</v>
      </c>
    </row>
    <row r="20" spans="1:7" ht="15">
      <c r="A20" s="404">
        <v>10</v>
      </c>
      <c r="B20" s="405" t="s">
        <v>484</v>
      </c>
      <c r="C20" s="435">
        <v>0.15127865454335521</v>
      </c>
      <c r="D20" s="435">
        <v>0.16016682604457366</v>
      </c>
      <c r="E20" s="436">
        <v>0.16354367718075397</v>
      </c>
      <c r="F20" s="436">
        <v>0.17047313237046693</v>
      </c>
      <c r="G20" s="436">
        <v>0.16760695178841442</v>
      </c>
    </row>
    <row r="21" spans="1:7" ht="15">
      <c r="A21" s="404">
        <v>11</v>
      </c>
      <c r="B21" s="405" t="s">
        <v>485</v>
      </c>
      <c r="C21" s="435">
        <v>8.4376048905636492E-2</v>
      </c>
      <c r="D21" s="435">
        <v>8.4284124006468383E-2</v>
      </c>
      <c r="E21" s="436">
        <v>8.4254906120513007E-2</v>
      </c>
      <c r="F21" s="436">
        <v>8.4186664163444738E-2</v>
      </c>
      <c r="G21" s="436">
        <v>8.1054040642183592E-2</v>
      </c>
    </row>
    <row r="22" spans="1:7" ht="15">
      <c r="A22" s="404">
        <v>12</v>
      </c>
      <c r="B22" s="405" t="s">
        <v>486</v>
      </c>
      <c r="C22" s="435">
        <v>0.1041786369271917</v>
      </c>
      <c r="D22" s="435">
        <v>0.10405552322294871</v>
      </c>
      <c r="E22" s="436">
        <v>0.10401639212568704</v>
      </c>
      <c r="F22" s="436">
        <v>0.10392499664747061</v>
      </c>
      <c r="G22" s="436">
        <v>9.9754518717210167E-2</v>
      </c>
    </row>
    <row r="23" spans="1:7" ht="15">
      <c r="A23" s="404">
        <v>13</v>
      </c>
      <c r="B23" s="405" t="s">
        <v>487</v>
      </c>
      <c r="C23" s="435">
        <v>0.13617151590292229</v>
      </c>
      <c r="D23" s="435">
        <v>0.13600736429726495</v>
      </c>
      <c r="E23" s="436">
        <v>0.13595518950091609</v>
      </c>
      <c r="F23" s="436">
        <v>0.13583332886329416</v>
      </c>
      <c r="G23" s="436">
        <v>0.13773935828961356</v>
      </c>
    </row>
    <row r="24" spans="1:7" ht="15">
      <c r="A24" s="422"/>
      <c r="B24" s="423" t="s">
        <v>6</v>
      </c>
      <c r="C24" s="291"/>
      <c r="D24" s="291"/>
      <c r="E24" s="291"/>
      <c r="F24" s="291"/>
      <c r="G24" s="292"/>
    </row>
    <row r="25" spans="1:7" ht="15" customHeight="1">
      <c r="A25" s="429">
        <v>14</v>
      </c>
      <c r="B25" s="430" t="s">
        <v>7</v>
      </c>
      <c r="C25" s="540">
        <v>0.17369436084755779</v>
      </c>
      <c r="D25" s="540">
        <v>0.17577151248133191</v>
      </c>
      <c r="E25" s="541">
        <v>0.17594187329019867</v>
      </c>
      <c r="F25" s="541">
        <v>0.17558798173409881</v>
      </c>
      <c r="G25" s="541">
        <v>0.17906126754806295</v>
      </c>
    </row>
    <row r="26" spans="1:7" ht="15">
      <c r="A26" s="429">
        <v>15</v>
      </c>
      <c r="B26" s="430" t="s">
        <v>8</v>
      </c>
      <c r="C26" s="540">
        <v>9.3747599787266697E-2</v>
      </c>
      <c r="D26" s="540">
        <v>9.5226642487695606E-2</v>
      </c>
      <c r="E26" s="541">
        <v>9.4890187147007657E-2</v>
      </c>
      <c r="F26" s="541">
        <v>9.4786573956475148E-2</v>
      </c>
      <c r="G26" s="541">
        <v>9.1761194423027714E-2</v>
      </c>
    </row>
    <row r="27" spans="1:7" ht="15">
      <c r="A27" s="429">
        <v>16</v>
      </c>
      <c r="B27" s="430" t="s">
        <v>9</v>
      </c>
      <c r="C27" s="540">
        <v>3.6082132132482826E-2</v>
      </c>
      <c r="D27" s="540">
        <v>3.7508093087610758E-2</v>
      </c>
      <c r="E27" s="541">
        <v>3.9544071239042078E-2</v>
      </c>
      <c r="F27" s="541">
        <v>4.629038108866456E-2</v>
      </c>
      <c r="G27" s="541">
        <v>4.3632615790773571E-2</v>
      </c>
    </row>
    <row r="28" spans="1:7" ht="15">
      <c r="A28" s="429">
        <v>17</v>
      </c>
      <c r="B28" s="430" t="s">
        <v>224</v>
      </c>
      <c r="C28" s="540">
        <v>7.9946761060291097E-2</v>
      </c>
      <c r="D28" s="540">
        <v>8.0544869993636289E-2</v>
      </c>
      <c r="E28" s="541">
        <v>8.1051686143190999E-2</v>
      </c>
      <c r="F28" s="541">
        <v>8.0801407777623666E-2</v>
      </c>
      <c r="G28" s="541">
        <v>8.7300073125035238E-2</v>
      </c>
    </row>
    <row r="29" spans="1:7" ht="15">
      <c r="A29" s="429">
        <v>18</v>
      </c>
      <c r="B29" s="430" t="s">
        <v>10</v>
      </c>
      <c r="C29" s="540">
        <v>1.7382715990512006E-2</v>
      </c>
      <c r="D29" s="540">
        <v>1.5318970784860456E-2</v>
      </c>
      <c r="E29" s="541">
        <v>1.4009968708847517E-2</v>
      </c>
      <c r="F29" s="541">
        <v>1.6594867425930651E-2</v>
      </c>
      <c r="G29" s="541">
        <v>1.7875156182373939E-2</v>
      </c>
    </row>
    <row r="30" spans="1:7" ht="15">
      <c r="A30" s="429">
        <v>19</v>
      </c>
      <c r="B30" s="430" t="s">
        <v>11</v>
      </c>
      <c r="C30" s="543">
        <v>0.15770000000000001</v>
      </c>
      <c r="D30" s="540">
        <v>0.13767808099401715</v>
      </c>
      <c r="E30" s="541">
        <v>0.12374646298410533</v>
      </c>
      <c r="F30" s="541">
        <v>0.14259755119714557</v>
      </c>
      <c r="G30" s="541">
        <v>0.14944306531804341</v>
      </c>
    </row>
    <row r="31" spans="1:7" ht="15">
      <c r="A31" s="422"/>
      <c r="B31" s="423" t="s">
        <v>12</v>
      </c>
      <c r="C31" s="291"/>
      <c r="D31" s="291"/>
      <c r="E31" s="291"/>
      <c r="F31" s="291"/>
      <c r="G31" s="292"/>
    </row>
    <row r="32" spans="1:7" ht="15">
      <c r="A32" s="429">
        <v>20</v>
      </c>
      <c r="B32" s="430" t="s">
        <v>13</v>
      </c>
      <c r="C32" s="540">
        <v>2.3871096451951922E-2</v>
      </c>
      <c r="D32" s="540">
        <v>3.2383367417705866E-2</v>
      </c>
      <c r="E32" s="541">
        <v>3.5506758855341561E-2</v>
      </c>
      <c r="F32" s="541">
        <v>4.1706818566806476E-2</v>
      </c>
      <c r="G32" s="541">
        <v>3.8736315714277547E-2</v>
      </c>
    </row>
    <row r="33" spans="1:7" ht="15" customHeight="1">
      <c r="A33" s="429">
        <v>21</v>
      </c>
      <c r="B33" s="430" t="s">
        <v>14</v>
      </c>
      <c r="C33" s="540">
        <v>3.3211170692005902E-2</v>
      </c>
      <c r="D33" s="540">
        <v>3.7995556404880039E-2</v>
      </c>
      <c r="E33" s="541">
        <v>4.0650632765261471E-2</v>
      </c>
      <c r="F33" s="541">
        <v>4.4768195042700271E-2</v>
      </c>
      <c r="G33" s="541">
        <v>4.2972414925792041E-2</v>
      </c>
    </row>
    <row r="34" spans="1:7" ht="15">
      <c r="A34" s="429">
        <v>22</v>
      </c>
      <c r="B34" s="430" t="s">
        <v>15</v>
      </c>
      <c r="C34" s="540">
        <v>0.10606337289064827</v>
      </c>
      <c r="D34" s="540">
        <v>9.8731863989680035E-2</v>
      </c>
      <c r="E34" s="541">
        <v>9.8676280063083432E-2</v>
      </c>
      <c r="F34" s="541">
        <v>9.5245395168892397E-2</v>
      </c>
      <c r="G34" s="541">
        <v>9.1200000000000003E-2</v>
      </c>
    </row>
    <row r="35" spans="1:7" ht="15" customHeight="1">
      <c r="A35" s="429">
        <v>23</v>
      </c>
      <c r="B35" s="430" t="s">
        <v>16</v>
      </c>
      <c r="C35" s="540">
        <v>0.16718068949181306</v>
      </c>
      <c r="D35" s="540">
        <v>0.13363272851405159</v>
      </c>
      <c r="E35" s="541">
        <v>0.11809891384951869</v>
      </c>
      <c r="F35" s="541">
        <v>0.11494656148985324</v>
      </c>
      <c r="G35" s="541">
        <v>0.12834595455243403</v>
      </c>
    </row>
    <row r="36" spans="1:7" ht="15">
      <c r="A36" s="429">
        <v>24</v>
      </c>
      <c r="B36" s="430" t="s">
        <v>17</v>
      </c>
      <c r="C36" s="540">
        <v>0.20085356712840197</v>
      </c>
      <c r="D36" s="540">
        <v>0.12773668784046888</v>
      </c>
      <c r="E36" s="541">
        <v>8.8302054385147599E-2</v>
      </c>
      <c r="F36" s="541">
        <v>1.61E-2</v>
      </c>
      <c r="G36" s="541">
        <v>0.40130466436092099</v>
      </c>
    </row>
    <row r="37" spans="1:7" ht="15" customHeight="1">
      <c r="A37" s="422"/>
      <c r="B37" s="423" t="s">
        <v>18</v>
      </c>
      <c r="C37" s="291"/>
      <c r="D37" s="291"/>
      <c r="E37" s="291"/>
      <c r="F37" s="291"/>
      <c r="G37" s="292"/>
    </row>
    <row r="38" spans="1:7" ht="15" customHeight="1">
      <c r="A38" s="429">
        <v>25</v>
      </c>
      <c r="B38" s="430" t="s">
        <v>19</v>
      </c>
      <c r="C38" s="540">
        <v>0.13224218771062179</v>
      </c>
      <c r="D38" s="540">
        <v>0.12482751523173331</v>
      </c>
      <c r="E38" s="540">
        <v>0.14015702748192332</v>
      </c>
      <c r="F38" s="540">
        <v>0.10553155570945096</v>
      </c>
      <c r="G38" s="540">
        <v>0.12248576368474862</v>
      </c>
    </row>
    <row r="39" spans="1:7" ht="15" customHeight="1">
      <c r="A39" s="429">
        <v>26</v>
      </c>
      <c r="B39" s="430" t="s">
        <v>20</v>
      </c>
      <c r="C39" s="540">
        <v>0.27629870187215017</v>
      </c>
      <c r="D39" s="540">
        <v>0.23418379388086483</v>
      </c>
      <c r="E39" s="540">
        <v>0.20049307317463336</v>
      </c>
      <c r="F39" s="540">
        <v>0.14544167620875656</v>
      </c>
      <c r="G39" s="540">
        <v>0.1589559058625058</v>
      </c>
    </row>
    <row r="40" spans="1:7" ht="15" customHeight="1">
      <c r="A40" s="429">
        <v>27</v>
      </c>
      <c r="B40" s="431" t="s">
        <v>21</v>
      </c>
      <c r="C40" s="540">
        <v>0.10219181016612465</v>
      </c>
      <c r="D40" s="540">
        <v>8.9523857496763184E-2</v>
      </c>
      <c r="E40" s="540">
        <v>7.2148819076422246E-2</v>
      </c>
      <c r="F40" s="540">
        <v>5.6661406683720661E-2</v>
      </c>
      <c r="G40" s="540">
        <v>7.0089317029742138E-2</v>
      </c>
    </row>
    <row r="41" spans="1:7" ht="15" customHeight="1">
      <c r="A41" s="433"/>
      <c r="B41" s="423" t="s">
        <v>395</v>
      </c>
      <c r="C41" s="291"/>
      <c r="D41" s="291"/>
      <c r="E41" s="291"/>
      <c r="F41" s="291"/>
      <c r="G41" s="292"/>
    </row>
    <row r="42" spans="1:7" ht="15" customHeight="1">
      <c r="A42" s="429">
        <v>28</v>
      </c>
      <c r="B42" s="474" t="s">
        <v>388</v>
      </c>
      <c r="C42" s="542">
        <v>253102321.96526882</v>
      </c>
      <c r="D42" s="542">
        <v>227422413.58679929</v>
      </c>
      <c r="E42" s="431">
        <v>189194327.39918065</v>
      </c>
      <c r="F42" s="431">
        <v>169189184.3245492</v>
      </c>
      <c r="G42" s="431">
        <v>207165339.34011158</v>
      </c>
    </row>
    <row r="43" spans="1:7" ht="15">
      <c r="A43" s="429">
        <v>29</v>
      </c>
      <c r="B43" s="430" t="s">
        <v>389</v>
      </c>
      <c r="C43" s="542">
        <v>119163803.34261332</v>
      </c>
      <c r="D43" s="542">
        <v>117655519.6043977</v>
      </c>
      <c r="E43" s="432">
        <v>116937133.12561239</v>
      </c>
      <c r="F43" s="432">
        <v>90968988.875303537</v>
      </c>
      <c r="G43" s="432">
        <v>118717181.96934123</v>
      </c>
    </row>
    <row r="44" spans="1:7" ht="15">
      <c r="A44" s="470">
        <v>30</v>
      </c>
      <c r="B44" s="471" t="s">
        <v>387</v>
      </c>
      <c r="C44" s="637">
        <v>2.1239866038646209</v>
      </c>
      <c r="D44" s="543">
        <v>1.9329515041153986</v>
      </c>
      <c r="E44" s="540">
        <v>1.6179148773550869</v>
      </c>
      <c r="F44" s="540">
        <v>1.859855610316463</v>
      </c>
      <c r="G44" s="540">
        <v>1.7450324873244727</v>
      </c>
    </row>
    <row r="45" spans="1:7" ht="15">
      <c r="A45" s="470"/>
      <c r="B45" s="423" t="s">
        <v>494</v>
      </c>
      <c r="C45" s="291"/>
      <c r="D45" s="291"/>
      <c r="E45" s="291"/>
      <c r="F45" s="291"/>
      <c r="G45" s="292"/>
    </row>
    <row r="46" spans="1:7" ht="15">
      <c r="A46" s="470">
        <v>31</v>
      </c>
      <c r="B46" s="471" t="s">
        <v>501</v>
      </c>
      <c r="C46" s="649">
        <v>1636746781.3146591</v>
      </c>
      <c r="D46" s="472">
        <v>1592112802.0434217</v>
      </c>
      <c r="E46" s="473">
        <v>1550796936.0216255</v>
      </c>
      <c r="F46" s="473">
        <v>1383622416.4300005</v>
      </c>
      <c r="G46" s="473">
        <v>1362648324.3199999</v>
      </c>
    </row>
    <row r="47" spans="1:7" ht="15">
      <c r="A47" s="470">
        <v>32</v>
      </c>
      <c r="B47" s="471" t="s">
        <v>514</v>
      </c>
      <c r="C47" s="649">
        <v>1302558651.2794161</v>
      </c>
      <c r="D47" s="472">
        <v>1233142259.7309997</v>
      </c>
      <c r="E47" s="473">
        <v>1176047953.6276989</v>
      </c>
      <c r="F47" s="473">
        <v>1135121484.5826097</v>
      </c>
      <c r="G47" s="473">
        <v>1073684098.3064198</v>
      </c>
    </row>
    <row r="48" spans="1:7" thickBot="1">
      <c r="A48" s="108">
        <v>33</v>
      </c>
      <c r="B48" s="211" t="s">
        <v>528</v>
      </c>
      <c r="C48" s="650">
        <v>1.2565628270995648</v>
      </c>
      <c r="D48" s="544">
        <v>1.2911022953594411</v>
      </c>
      <c r="E48" s="545">
        <v>1.3186511070725955</v>
      </c>
      <c r="F48" s="545">
        <v>1.2189201202008488</v>
      </c>
      <c r="G48" s="545">
        <v>1.269133375887171</v>
      </c>
    </row>
    <row r="49" spans="1:2">
      <c r="A49" s="15"/>
    </row>
    <row r="50" spans="1:2" ht="39.75">
      <c r="B50" s="17" t="s">
        <v>473</v>
      </c>
    </row>
    <row r="51" spans="1:2" ht="65.25">
      <c r="B51" s="335" t="s">
        <v>394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B4" zoomScale="75" zoomScaleNormal="75" workbookViewId="0">
      <selection activeCell="H21" sqref="H21"/>
    </sheetView>
  </sheetViews>
  <sheetFormatPr defaultColWidth="9.140625" defaultRowHeight="12.75"/>
  <cols>
    <col min="1" max="1" width="10.85546875" style="477" customWidth="1"/>
    <col min="2" max="2" width="93.5703125" style="477" customWidth="1"/>
    <col min="3" max="8" width="24.7109375" style="477" customWidth="1"/>
    <col min="9" max="16384" width="9.140625" style="477"/>
  </cols>
  <sheetData>
    <row r="1" spans="1:8" ht="13.5">
      <c r="A1" s="476" t="s">
        <v>188</v>
      </c>
      <c r="B1" s="400" t="str">
        <f>Info!C2</f>
        <v>სს "კრედო ბანკი"</v>
      </c>
    </row>
    <row r="2" spans="1:8">
      <c r="A2" s="476" t="s">
        <v>189</v>
      </c>
      <c r="B2" s="479">
        <f>'1. key ratios'!B2</f>
        <v>44926</v>
      </c>
    </row>
    <row r="3" spans="1:8">
      <c r="A3" s="478" t="s">
        <v>530</v>
      </c>
    </row>
    <row r="5" spans="1:8">
      <c r="A5" s="698" t="s">
        <v>531</v>
      </c>
      <c r="B5" s="699"/>
      <c r="C5" s="704" t="s">
        <v>532</v>
      </c>
      <c r="D5" s="705"/>
      <c r="E5" s="705"/>
      <c r="F5" s="705"/>
      <c r="G5" s="705"/>
      <c r="H5" s="706"/>
    </row>
    <row r="6" spans="1:8">
      <c r="A6" s="700"/>
      <c r="B6" s="701"/>
      <c r="C6" s="707"/>
      <c r="D6" s="708"/>
      <c r="E6" s="708"/>
      <c r="F6" s="708"/>
      <c r="G6" s="708"/>
      <c r="H6" s="709"/>
    </row>
    <row r="7" spans="1:8" ht="25.5">
      <c r="A7" s="702"/>
      <c r="B7" s="703"/>
      <c r="C7" s="480" t="s">
        <v>533</v>
      </c>
      <c r="D7" s="480" t="s">
        <v>534</v>
      </c>
      <c r="E7" s="480" t="s">
        <v>535</v>
      </c>
      <c r="F7" s="480" t="s">
        <v>536</v>
      </c>
      <c r="G7" s="480" t="s">
        <v>708</v>
      </c>
      <c r="H7" s="480" t="s">
        <v>68</v>
      </c>
    </row>
    <row r="8" spans="1:8" ht="15" customHeight="1">
      <c r="A8" s="481">
        <v>1</v>
      </c>
      <c r="B8" s="482" t="s">
        <v>216</v>
      </c>
      <c r="C8" s="567">
        <v>1311591.0900000001</v>
      </c>
      <c r="D8" s="567">
        <v>55013938.359999999</v>
      </c>
      <c r="E8" s="567">
        <v>2981407.58</v>
      </c>
      <c r="F8" s="567">
        <v>19745284</v>
      </c>
      <c r="G8" s="567">
        <v>50350603.970000006</v>
      </c>
      <c r="H8" s="567">
        <f>SUM(C8:G8)</f>
        <v>129402825</v>
      </c>
    </row>
    <row r="9" spans="1:8" ht="23.25" customHeight="1">
      <c r="A9" s="481">
        <v>2</v>
      </c>
      <c r="B9" s="482" t="s">
        <v>217</v>
      </c>
      <c r="C9" s="567"/>
      <c r="D9" s="567"/>
      <c r="E9" s="567"/>
      <c r="F9" s="567"/>
      <c r="G9" s="567"/>
      <c r="H9" s="567">
        <f t="shared" ref="H9:H21" si="0">SUM(C9:G9)</f>
        <v>0</v>
      </c>
    </row>
    <row r="10" spans="1:8" ht="15" customHeight="1">
      <c r="A10" s="481">
        <v>3</v>
      </c>
      <c r="B10" s="482" t="s">
        <v>218</v>
      </c>
      <c r="C10" s="567"/>
      <c r="D10" s="567"/>
      <c r="E10" s="567">
        <v>26142344.66</v>
      </c>
      <c r="F10" s="567"/>
      <c r="G10" s="567"/>
      <c r="H10" s="567">
        <f t="shared" si="0"/>
        <v>26142344.66</v>
      </c>
    </row>
    <row r="11" spans="1:8" ht="15" customHeight="1">
      <c r="A11" s="481">
        <v>4</v>
      </c>
      <c r="B11" s="482" t="s">
        <v>219</v>
      </c>
      <c r="C11" s="567"/>
      <c r="D11" s="567"/>
      <c r="E11" s="567"/>
      <c r="F11" s="567"/>
      <c r="G11" s="567"/>
      <c r="H11" s="567">
        <f t="shared" si="0"/>
        <v>0</v>
      </c>
    </row>
    <row r="12" spans="1:8" ht="15" customHeight="1">
      <c r="A12" s="481">
        <v>5</v>
      </c>
      <c r="B12" s="482" t="s">
        <v>220</v>
      </c>
      <c r="C12" s="567"/>
      <c r="D12" s="567"/>
      <c r="E12" s="567"/>
      <c r="F12" s="567"/>
      <c r="G12" s="567"/>
      <c r="H12" s="567">
        <f t="shared" si="0"/>
        <v>0</v>
      </c>
    </row>
    <row r="13" spans="1:8" ht="15" customHeight="1">
      <c r="A13" s="481">
        <v>6</v>
      </c>
      <c r="B13" s="482" t="s">
        <v>221</v>
      </c>
      <c r="C13" s="567">
        <v>113834218.32000001</v>
      </c>
      <c r="D13" s="567"/>
      <c r="E13" s="567"/>
      <c r="F13" s="567"/>
      <c r="G13" s="567"/>
      <c r="H13" s="567">
        <f t="shared" si="0"/>
        <v>113834218.32000001</v>
      </c>
    </row>
    <row r="14" spans="1:8" ht="15" customHeight="1">
      <c r="A14" s="481">
        <v>7</v>
      </c>
      <c r="B14" s="482" t="s">
        <v>73</v>
      </c>
      <c r="C14" s="567"/>
      <c r="D14" s="567">
        <v>1216945.4099999999</v>
      </c>
      <c r="E14" s="567">
        <v>6318886.8876799997</v>
      </c>
      <c r="F14" s="567">
        <v>19684320.110639997</v>
      </c>
      <c r="G14" s="567"/>
      <c r="H14" s="567">
        <f t="shared" si="0"/>
        <v>27220152.408319995</v>
      </c>
    </row>
    <row r="15" spans="1:8" ht="15" customHeight="1">
      <c r="A15" s="481">
        <v>8</v>
      </c>
      <c r="B15" s="484" t="s">
        <v>74</v>
      </c>
      <c r="C15" s="567">
        <v>663789.34899999993</v>
      </c>
      <c r="D15" s="567">
        <v>282317681.53943664</v>
      </c>
      <c r="E15" s="567">
        <v>1031247883.8827336</v>
      </c>
      <c r="F15" s="567">
        <v>274291315.17502427</v>
      </c>
      <c r="G15" s="567">
        <v>438533.36100000044</v>
      </c>
      <c r="H15" s="567">
        <f t="shared" si="0"/>
        <v>1588959203.3071945</v>
      </c>
    </row>
    <row r="16" spans="1:8" ht="15" customHeight="1">
      <c r="A16" s="481">
        <v>9</v>
      </c>
      <c r="B16" s="482" t="s">
        <v>75</v>
      </c>
      <c r="C16" s="567"/>
      <c r="D16" s="567"/>
      <c r="E16" s="567"/>
      <c r="F16" s="567"/>
      <c r="G16" s="567"/>
      <c r="H16" s="567">
        <f t="shared" si="0"/>
        <v>0</v>
      </c>
    </row>
    <row r="17" spans="1:8" ht="15" customHeight="1">
      <c r="A17" s="481">
        <v>10</v>
      </c>
      <c r="B17" s="533" t="s">
        <v>558</v>
      </c>
      <c r="C17" s="567">
        <v>444347.43499999982</v>
      </c>
      <c r="D17" s="567">
        <v>1684873.796000001</v>
      </c>
      <c r="E17" s="567">
        <v>4761568.5625800062</v>
      </c>
      <c r="F17" s="567">
        <v>1040154.0059999998</v>
      </c>
      <c r="G17" s="567"/>
      <c r="H17" s="567">
        <f t="shared" si="0"/>
        <v>7930943.7995800069</v>
      </c>
    </row>
    <row r="18" spans="1:8" ht="15" customHeight="1">
      <c r="A18" s="481">
        <v>11</v>
      </c>
      <c r="B18" s="482" t="s">
        <v>70</v>
      </c>
      <c r="C18" s="567">
        <v>11940.882299999997</v>
      </c>
      <c r="D18" s="567">
        <v>33660298.844879992</v>
      </c>
      <c r="E18" s="567">
        <v>119345646.9154795</v>
      </c>
      <c r="F18" s="567">
        <v>22888465.602275994</v>
      </c>
      <c r="G18" s="567">
        <v>5814.0740000000005</v>
      </c>
      <c r="H18" s="567">
        <f t="shared" si="0"/>
        <v>175912166.31893548</v>
      </c>
    </row>
    <row r="19" spans="1:8" ht="15" customHeight="1">
      <c r="A19" s="481">
        <v>12</v>
      </c>
      <c r="B19" s="482" t="s">
        <v>71</v>
      </c>
      <c r="C19" s="567"/>
      <c r="D19" s="567"/>
      <c r="E19" s="567"/>
      <c r="F19" s="567"/>
      <c r="G19" s="567"/>
      <c r="H19" s="567">
        <f t="shared" si="0"/>
        <v>0</v>
      </c>
    </row>
    <row r="20" spans="1:8" ht="15" customHeight="1">
      <c r="A20" s="485">
        <v>13</v>
      </c>
      <c r="B20" s="484" t="s">
        <v>72</v>
      </c>
      <c r="C20" s="567"/>
      <c r="D20" s="567"/>
      <c r="E20" s="567"/>
      <c r="F20" s="567"/>
      <c r="G20" s="567"/>
      <c r="H20" s="567">
        <f t="shared" si="0"/>
        <v>0</v>
      </c>
    </row>
    <row r="21" spans="1:8" ht="15" customHeight="1">
      <c r="A21" s="481">
        <v>14</v>
      </c>
      <c r="B21" s="482" t="s">
        <v>537</v>
      </c>
      <c r="C21" s="567">
        <f>78302411.73+454</f>
        <v>78302865.730000004</v>
      </c>
      <c r="D21" s="567">
        <v>45904981</v>
      </c>
      <c r="E21" s="567">
        <v>3280545</v>
      </c>
      <c r="F21" s="567"/>
      <c r="G21" s="567">
        <v>33994927.390000001</v>
      </c>
      <c r="H21" s="567">
        <f t="shared" si="0"/>
        <v>161483319.12</v>
      </c>
    </row>
    <row r="22" spans="1:8" ht="15" customHeight="1">
      <c r="A22" s="486">
        <v>15</v>
      </c>
      <c r="B22" s="483" t="s">
        <v>68</v>
      </c>
      <c r="C22" s="567">
        <f>SUM(C18:C21)+SUM(C8:C16)</f>
        <v>194124405.37130004</v>
      </c>
      <c r="D22" s="567">
        <f t="shared" ref="D22:G22" si="1">SUM(D18:D21)+SUM(D8:D16)</f>
        <v>418113845.1543166</v>
      </c>
      <c r="E22" s="567">
        <f t="shared" si="1"/>
        <v>1189316714.9258931</v>
      </c>
      <c r="F22" s="567">
        <f t="shared" si="1"/>
        <v>336609384.88794023</v>
      </c>
      <c r="G22" s="567">
        <f t="shared" si="1"/>
        <v>84789878.795000017</v>
      </c>
      <c r="H22" s="567">
        <f>SUM(H18:H21)+SUM(H8:H16)</f>
        <v>2222954229.13445</v>
      </c>
    </row>
    <row r="23" spans="1:8">
      <c r="H23" s="609"/>
    </row>
    <row r="24" spans="1:8">
      <c r="H24" s="570"/>
    </row>
    <row r="25" spans="1:8">
      <c r="C25" s="609"/>
      <c r="D25" s="609"/>
      <c r="E25" s="609"/>
      <c r="F25" s="609"/>
      <c r="G25" s="609"/>
      <c r="H25" s="570"/>
    </row>
    <row r="26" spans="1:8" ht="38.25">
      <c r="B26" s="532" t="s">
        <v>707</v>
      </c>
      <c r="F26" s="570"/>
      <c r="G26" s="609"/>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28"/>
  <sheetViews>
    <sheetView showGridLines="0" topLeftCell="B5" zoomScale="80" zoomScaleNormal="80" workbookViewId="0">
      <selection activeCell="E26" sqref="E26"/>
    </sheetView>
  </sheetViews>
  <sheetFormatPr defaultColWidth="9.140625" defaultRowHeight="12.75"/>
  <cols>
    <col min="1" max="1" width="11.85546875" style="487" bestFit="1" customWidth="1"/>
    <col min="2" max="2" width="102.85546875" style="477" customWidth="1"/>
    <col min="3" max="3" width="22.42578125" style="477" customWidth="1"/>
    <col min="4" max="4" width="23.5703125" style="477" customWidth="1"/>
    <col min="5" max="8" width="22.140625" style="477" customWidth="1"/>
    <col min="9" max="9" width="41.42578125" style="477" customWidth="1"/>
    <col min="10" max="10" width="9.140625" style="477"/>
    <col min="11" max="11" width="18" style="477" bestFit="1" customWidth="1"/>
    <col min="12" max="16384" width="9.140625" style="477"/>
  </cols>
  <sheetData>
    <row r="1" spans="1:9" ht="13.5">
      <c r="A1" s="476" t="s">
        <v>188</v>
      </c>
      <c r="B1" s="400" t="str">
        <f>Info!C2</f>
        <v>სს "კრედო ბანკი"</v>
      </c>
    </row>
    <row r="2" spans="1:9">
      <c r="A2" s="476" t="s">
        <v>189</v>
      </c>
      <c r="B2" s="479">
        <f>'1. key ratios'!B2</f>
        <v>44926</v>
      </c>
    </row>
    <row r="3" spans="1:9">
      <c r="A3" s="478" t="s">
        <v>538</v>
      </c>
    </row>
    <row r="4" spans="1:9">
      <c r="C4" s="488" t="s">
        <v>539</v>
      </c>
      <c r="D4" s="488" t="s">
        <v>540</v>
      </c>
      <c r="E4" s="488" t="s">
        <v>541</v>
      </c>
      <c r="F4" s="488" t="s">
        <v>542</v>
      </c>
      <c r="G4" s="488" t="s">
        <v>543</v>
      </c>
      <c r="H4" s="488" t="s">
        <v>544</v>
      </c>
      <c r="I4" s="488" t="s">
        <v>545</v>
      </c>
    </row>
    <row r="5" spans="1:9" ht="33.950000000000003" customHeight="1">
      <c r="A5" s="698" t="s">
        <v>548</v>
      </c>
      <c r="B5" s="699"/>
      <c r="C5" s="712" t="s">
        <v>549</v>
      </c>
      <c r="D5" s="712"/>
      <c r="E5" s="712" t="s">
        <v>550</v>
      </c>
      <c r="F5" s="712" t="s">
        <v>551</v>
      </c>
      <c r="G5" s="710" t="s">
        <v>552</v>
      </c>
      <c r="H5" s="710" t="s">
        <v>553</v>
      </c>
      <c r="I5" s="489" t="s">
        <v>554</v>
      </c>
    </row>
    <row r="6" spans="1:9" ht="38.25">
      <c r="A6" s="702"/>
      <c r="B6" s="703"/>
      <c r="C6" s="526" t="s">
        <v>555</v>
      </c>
      <c r="D6" s="526" t="s">
        <v>556</v>
      </c>
      <c r="E6" s="712"/>
      <c r="F6" s="712"/>
      <c r="G6" s="711"/>
      <c r="H6" s="711"/>
      <c r="I6" s="489" t="s">
        <v>557</v>
      </c>
    </row>
    <row r="7" spans="1:9">
      <c r="A7" s="490">
        <v>1</v>
      </c>
      <c r="B7" s="482" t="s">
        <v>216</v>
      </c>
      <c r="C7" s="568"/>
      <c r="D7" s="568">
        <v>129402825</v>
      </c>
      <c r="E7" s="569"/>
      <c r="F7" s="569"/>
      <c r="G7" s="569"/>
      <c r="H7" s="568"/>
      <c r="I7" s="492">
        <f t="shared" ref="I7:I23" si="0">C7+D7-E7-F7-G7</f>
        <v>129402825</v>
      </c>
    </row>
    <row r="8" spans="1:9">
      <c r="A8" s="490">
        <v>2</v>
      </c>
      <c r="B8" s="482" t="s">
        <v>217</v>
      </c>
      <c r="C8" s="568"/>
      <c r="D8" s="568">
        <v>0</v>
      </c>
      <c r="E8" s="569"/>
      <c r="F8" s="569"/>
      <c r="G8" s="569"/>
      <c r="H8" s="568"/>
      <c r="I8" s="492">
        <f t="shared" si="0"/>
        <v>0</v>
      </c>
    </row>
    <row r="9" spans="1:9">
      <c r="A9" s="490">
        <v>3</v>
      </c>
      <c r="B9" s="482" t="s">
        <v>218</v>
      </c>
      <c r="C9" s="568"/>
      <c r="D9" s="568">
        <v>26142344.66</v>
      </c>
      <c r="E9" s="569"/>
      <c r="F9" s="569"/>
      <c r="G9" s="569"/>
      <c r="H9" s="568"/>
      <c r="I9" s="492">
        <f t="shared" si="0"/>
        <v>26142344.66</v>
      </c>
    </row>
    <row r="10" spans="1:9">
      <c r="A10" s="490">
        <v>4</v>
      </c>
      <c r="B10" s="482" t="s">
        <v>219</v>
      </c>
      <c r="C10" s="568"/>
      <c r="D10" s="568">
        <v>0</v>
      </c>
      <c r="E10" s="569"/>
      <c r="F10" s="569"/>
      <c r="G10" s="569"/>
      <c r="H10" s="568"/>
      <c r="I10" s="492">
        <f t="shared" si="0"/>
        <v>0</v>
      </c>
    </row>
    <row r="11" spans="1:9">
      <c r="A11" s="490">
        <v>5</v>
      </c>
      <c r="B11" s="482" t="s">
        <v>220</v>
      </c>
      <c r="C11" s="568"/>
      <c r="D11" s="568">
        <v>0</v>
      </c>
      <c r="E11" s="569"/>
      <c r="F11" s="569"/>
      <c r="G11" s="569"/>
      <c r="H11" s="568"/>
      <c r="I11" s="492">
        <f t="shared" si="0"/>
        <v>0</v>
      </c>
    </row>
    <row r="12" spans="1:9">
      <c r="A12" s="490">
        <v>6</v>
      </c>
      <c r="B12" s="482" t="s">
        <v>221</v>
      </c>
      <c r="C12" s="568"/>
      <c r="D12" s="568">
        <v>113834218.32000001</v>
      </c>
      <c r="E12" s="569"/>
      <c r="F12" s="569"/>
      <c r="G12" s="569"/>
      <c r="H12" s="568"/>
      <c r="I12" s="492">
        <f t="shared" si="0"/>
        <v>113834218.32000001</v>
      </c>
    </row>
    <row r="13" spans="1:9">
      <c r="A13" s="490">
        <v>7</v>
      </c>
      <c r="B13" s="482" t="s">
        <v>73</v>
      </c>
      <c r="C13" s="568"/>
      <c r="D13" s="568">
        <v>27220152.408319995</v>
      </c>
      <c r="E13" s="569"/>
      <c r="F13" s="569">
        <v>542606.90259999991</v>
      </c>
      <c r="G13" s="569"/>
      <c r="H13" s="568"/>
      <c r="I13" s="492">
        <f t="shared" si="0"/>
        <v>26677545.505719993</v>
      </c>
    </row>
    <row r="14" spans="1:9">
      <c r="A14" s="490">
        <v>8</v>
      </c>
      <c r="B14" s="484" t="s">
        <v>74</v>
      </c>
      <c r="C14" s="568">
        <v>42586128.996091872</v>
      </c>
      <c r="D14" s="568">
        <v>1571848646.8041945</v>
      </c>
      <c r="E14" s="569">
        <v>25475572.492900118</v>
      </c>
      <c r="F14" s="569">
        <v>29968041.973793238</v>
      </c>
      <c r="G14" s="569"/>
      <c r="H14" s="569">
        <v>11813567.83</v>
      </c>
      <c r="I14" s="492">
        <f t="shared" si="0"/>
        <v>1558991161.3335929</v>
      </c>
    </row>
    <row r="15" spans="1:9">
      <c r="A15" s="490">
        <v>9</v>
      </c>
      <c r="B15" s="482" t="s">
        <v>75</v>
      </c>
      <c r="C15" s="568"/>
      <c r="D15" s="568"/>
      <c r="E15" s="569"/>
      <c r="F15" s="569"/>
      <c r="G15" s="569"/>
      <c r="H15" s="569"/>
      <c r="I15" s="492">
        <f t="shared" si="0"/>
        <v>0</v>
      </c>
    </row>
    <row r="16" spans="1:9">
      <c r="A16" s="490">
        <v>10</v>
      </c>
      <c r="B16" s="533" t="s">
        <v>558</v>
      </c>
      <c r="C16" s="568">
        <v>11049371</v>
      </c>
      <c r="D16" s="569">
        <v>2447027.4585800017</v>
      </c>
      <c r="E16" s="569">
        <v>5565455.428999994</v>
      </c>
      <c r="F16" s="569">
        <v>20684.450399999994</v>
      </c>
      <c r="G16" s="569"/>
      <c r="H16" s="569">
        <v>11813567.83</v>
      </c>
      <c r="I16" s="492">
        <f t="shared" si="0"/>
        <v>7910258.5791800078</v>
      </c>
    </row>
    <row r="17" spans="1:11">
      <c r="A17" s="490">
        <v>11</v>
      </c>
      <c r="B17" s="482" t="s">
        <v>70</v>
      </c>
      <c r="C17" s="568">
        <v>237340.42</v>
      </c>
      <c r="D17" s="568">
        <v>175748713.23993564</v>
      </c>
      <c r="E17" s="569">
        <v>73887.341</v>
      </c>
      <c r="F17" s="569">
        <v>3474972.9632999916</v>
      </c>
      <c r="G17" s="569"/>
      <c r="H17" s="569"/>
      <c r="I17" s="492">
        <f t="shared" si="0"/>
        <v>172437193.35563564</v>
      </c>
    </row>
    <row r="18" spans="1:11">
      <c r="A18" s="490">
        <v>12</v>
      </c>
      <c r="B18" s="482" t="s">
        <v>71</v>
      </c>
      <c r="C18" s="568"/>
      <c r="D18" s="568"/>
      <c r="E18" s="569"/>
      <c r="F18" s="569"/>
      <c r="G18" s="569"/>
      <c r="H18" s="568"/>
      <c r="I18" s="492">
        <f t="shared" si="0"/>
        <v>0</v>
      </c>
    </row>
    <row r="19" spans="1:11">
      <c r="A19" s="493">
        <v>13</v>
      </c>
      <c r="B19" s="484" t="s">
        <v>72</v>
      </c>
      <c r="C19" s="568"/>
      <c r="D19" s="568"/>
      <c r="E19" s="569"/>
      <c r="F19" s="569"/>
      <c r="G19" s="569"/>
      <c r="H19" s="568"/>
      <c r="I19" s="492">
        <f t="shared" si="0"/>
        <v>0</v>
      </c>
      <c r="K19" s="611"/>
    </row>
    <row r="20" spans="1:11">
      <c r="A20" s="490">
        <v>14</v>
      </c>
      <c r="B20" s="482" t="s">
        <v>537</v>
      </c>
      <c r="C20" s="568">
        <v>8847344</v>
      </c>
      <c r="D20" s="568">
        <v>172776884.12</v>
      </c>
      <c r="E20" s="569">
        <v>5086640</v>
      </c>
      <c r="F20" s="569"/>
      <c r="G20" s="569"/>
      <c r="H20" s="569">
        <v>555025</v>
      </c>
      <c r="I20" s="492">
        <f t="shared" si="0"/>
        <v>176537588.12</v>
      </c>
      <c r="K20" s="570"/>
    </row>
    <row r="21" spans="1:11" s="495" customFormat="1">
      <c r="A21" s="494">
        <v>15</v>
      </c>
      <c r="B21" s="483" t="s">
        <v>68</v>
      </c>
      <c r="C21" s="567">
        <f>SUM(C7:C15)+SUM(C17:C20)</f>
        <v>51670813.416091874</v>
      </c>
      <c r="D21" s="567">
        <f t="shared" ref="D21:H21" si="1">SUM(D7:D15)+SUM(D17:D20)</f>
        <v>2216973784.5524502</v>
      </c>
      <c r="E21" s="567">
        <f t="shared" si="1"/>
        <v>30636099.833900116</v>
      </c>
      <c r="F21" s="567">
        <f t="shared" si="1"/>
        <v>33985621.839693233</v>
      </c>
      <c r="G21" s="567">
        <f t="shared" si="1"/>
        <v>0</v>
      </c>
      <c r="H21" s="567">
        <f t="shared" si="1"/>
        <v>12368592.83</v>
      </c>
      <c r="I21" s="492">
        <f t="shared" si="0"/>
        <v>2204022876.2949491</v>
      </c>
      <c r="K21" s="612"/>
    </row>
    <row r="22" spans="1:11">
      <c r="A22" s="496">
        <v>16</v>
      </c>
      <c r="B22" s="497" t="s">
        <v>559</v>
      </c>
      <c r="C22" s="569">
        <f>C14+C17</f>
        <v>42823469.416091874</v>
      </c>
      <c r="D22" s="569">
        <f>D13+D14+D17</f>
        <v>1774817512.45245</v>
      </c>
      <c r="E22" s="569">
        <f>E14+E17</f>
        <v>25549459.833900116</v>
      </c>
      <c r="F22" s="569">
        <f>F13+F14+F17</f>
        <v>33985621.839693233</v>
      </c>
      <c r="G22" s="569"/>
      <c r="H22" s="568">
        <v>11813567.83</v>
      </c>
      <c r="I22" s="492">
        <f t="shared" si="0"/>
        <v>1758105900.1949484</v>
      </c>
    </row>
    <row r="23" spans="1:11">
      <c r="A23" s="496">
        <v>17</v>
      </c>
      <c r="B23" s="497" t="s">
        <v>560</v>
      </c>
      <c r="C23" s="569"/>
      <c r="D23" s="569"/>
      <c r="E23" s="569"/>
      <c r="F23" s="569"/>
      <c r="G23" s="569"/>
      <c r="H23" s="568"/>
      <c r="I23" s="492">
        <f t="shared" si="0"/>
        <v>0</v>
      </c>
    </row>
    <row r="24" spans="1:11">
      <c r="H24" s="611"/>
      <c r="I24" s="609"/>
    </row>
    <row r="25" spans="1:11">
      <c r="C25" s="570"/>
      <c r="D25" s="570"/>
      <c r="F25" s="570"/>
      <c r="G25" s="570"/>
      <c r="I25" s="610"/>
    </row>
    <row r="26" spans="1:11" ht="42.6" customHeight="1">
      <c r="B26" s="532" t="s">
        <v>707</v>
      </c>
      <c r="D26" s="570"/>
      <c r="E26" s="613"/>
      <c r="F26" s="570"/>
      <c r="I26" s="610"/>
      <c r="K26" s="610"/>
    </row>
    <row r="28" spans="1:11">
      <c r="I28" s="610"/>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B1" zoomScale="90" zoomScaleNormal="90" workbookViewId="0">
      <selection activeCell="C7" sqref="C7:F7"/>
    </sheetView>
  </sheetViews>
  <sheetFormatPr defaultColWidth="9.140625" defaultRowHeight="12.75"/>
  <cols>
    <col min="1" max="1" width="11" style="477" bestFit="1" customWidth="1"/>
    <col min="2" max="2" width="93.42578125" style="477" customWidth="1"/>
    <col min="3" max="8" width="22" style="477" customWidth="1"/>
    <col min="9" max="9" width="42.28515625" style="477" bestFit="1" customWidth="1"/>
    <col min="10" max="16384" width="9.140625" style="477"/>
  </cols>
  <sheetData>
    <row r="1" spans="1:9" ht="13.5">
      <c r="A1" s="476" t="s">
        <v>188</v>
      </c>
      <c r="B1" s="400" t="str">
        <f>Info!C2</f>
        <v>სს "კრედო ბანკი"</v>
      </c>
    </row>
    <row r="2" spans="1:9">
      <c r="A2" s="476" t="s">
        <v>189</v>
      </c>
      <c r="B2" s="479">
        <f>'1. key ratios'!B2</f>
        <v>44926</v>
      </c>
    </row>
    <row r="3" spans="1:9">
      <c r="A3" s="478" t="s">
        <v>561</v>
      </c>
    </row>
    <row r="4" spans="1:9">
      <c r="C4" s="488" t="s">
        <v>539</v>
      </c>
      <c r="D4" s="488" t="s">
        <v>540</v>
      </c>
      <c r="E4" s="488" t="s">
        <v>541</v>
      </c>
      <c r="F4" s="488" t="s">
        <v>542</v>
      </c>
      <c r="G4" s="488" t="s">
        <v>543</v>
      </c>
      <c r="H4" s="488" t="s">
        <v>544</v>
      </c>
      <c r="I4" s="488" t="s">
        <v>545</v>
      </c>
    </row>
    <row r="5" spans="1:9" ht="41.45" customHeight="1">
      <c r="A5" s="698" t="s">
        <v>711</v>
      </c>
      <c r="B5" s="699"/>
      <c r="C5" s="712" t="s">
        <v>549</v>
      </c>
      <c r="D5" s="712"/>
      <c r="E5" s="712" t="s">
        <v>550</v>
      </c>
      <c r="F5" s="712" t="s">
        <v>551</v>
      </c>
      <c r="G5" s="710" t="s">
        <v>552</v>
      </c>
      <c r="H5" s="710" t="s">
        <v>553</v>
      </c>
      <c r="I5" s="489" t="s">
        <v>554</v>
      </c>
    </row>
    <row r="6" spans="1:9" ht="41.45" customHeight="1">
      <c r="A6" s="702"/>
      <c r="B6" s="703"/>
      <c r="C6" s="526" t="s">
        <v>555</v>
      </c>
      <c r="D6" s="526" t="s">
        <v>556</v>
      </c>
      <c r="E6" s="712"/>
      <c r="F6" s="712"/>
      <c r="G6" s="711"/>
      <c r="H6" s="711"/>
      <c r="I6" s="489" t="s">
        <v>557</v>
      </c>
    </row>
    <row r="7" spans="1:9">
      <c r="A7" s="491">
        <v>1</v>
      </c>
      <c r="B7" s="498" t="s">
        <v>562</v>
      </c>
      <c r="C7" s="568">
        <v>438672.37</v>
      </c>
      <c r="D7" s="569">
        <v>149328516.5411</v>
      </c>
      <c r="E7" s="568">
        <v>236132.27999999502</v>
      </c>
      <c r="F7" s="568">
        <v>384884.83330000198</v>
      </c>
      <c r="G7" s="568"/>
      <c r="H7" s="568">
        <v>70395.060000000027</v>
      </c>
      <c r="I7" s="614">
        <f t="shared" ref="I7:I34" si="0">C7+D7-E7-F7-G7</f>
        <v>149146171.7978</v>
      </c>
    </row>
    <row r="8" spans="1:9">
      <c r="A8" s="491">
        <v>2</v>
      </c>
      <c r="B8" s="498" t="s">
        <v>563</v>
      </c>
      <c r="C8" s="568">
        <v>74237.849999999991</v>
      </c>
      <c r="D8" s="569">
        <v>150809664.48820001</v>
      </c>
      <c r="E8" s="568">
        <v>64406.151999999653</v>
      </c>
      <c r="F8" s="568">
        <v>210855.09040000074</v>
      </c>
      <c r="G8" s="568"/>
      <c r="H8" s="568">
        <v>41110.829999999994</v>
      </c>
      <c r="I8" s="614">
        <f t="shared" si="0"/>
        <v>150608641.09579998</v>
      </c>
    </row>
    <row r="9" spans="1:9">
      <c r="A9" s="491">
        <v>3</v>
      </c>
      <c r="B9" s="498" t="s">
        <v>564</v>
      </c>
      <c r="C9" s="568">
        <v>133381.68</v>
      </c>
      <c r="D9" s="568">
        <v>6408240.7599999988</v>
      </c>
      <c r="E9" s="568">
        <v>71653.19600000004</v>
      </c>
      <c r="F9" s="568">
        <v>123722.53460000009</v>
      </c>
      <c r="G9" s="568"/>
      <c r="H9" s="568">
        <v>38184.939999999995</v>
      </c>
      <c r="I9" s="614">
        <f t="shared" si="0"/>
        <v>6346246.7093999982</v>
      </c>
    </row>
    <row r="10" spans="1:9">
      <c r="A10" s="491">
        <v>4</v>
      </c>
      <c r="B10" s="498" t="s">
        <v>565</v>
      </c>
      <c r="C10" s="568">
        <v>326.01</v>
      </c>
      <c r="D10" s="568">
        <v>8639491.7371999975</v>
      </c>
      <c r="E10" s="568">
        <v>1305.6839999999793</v>
      </c>
      <c r="F10" s="568">
        <v>171171.01459999997</v>
      </c>
      <c r="G10" s="568"/>
      <c r="H10" s="568"/>
      <c r="I10" s="614">
        <f t="shared" si="0"/>
        <v>8467341.0485999975</v>
      </c>
    </row>
    <row r="11" spans="1:9">
      <c r="A11" s="491">
        <v>5</v>
      </c>
      <c r="B11" s="498" t="s">
        <v>566</v>
      </c>
      <c r="C11" s="568">
        <v>29307.690000000002</v>
      </c>
      <c r="D11" s="568">
        <v>24343351.702320024</v>
      </c>
      <c r="E11" s="568">
        <v>104546.48589999892</v>
      </c>
      <c r="F11" s="568">
        <v>463799.99270000006</v>
      </c>
      <c r="G11" s="568"/>
      <c r="H11" s="568">
        <v>9185.57</v>
      </c>
      <c r="I11" s="614">
        <f t="shared" si="0"/>
        <v>23804312.913720027</v>
      </c>
    </row>
    <row r="12" spans="1:9">
      <c r="A12" s="491">
        <v>6</v>
      </c>
      <c r="B12" s="498" t="s">
        <v>567</v>
      </c>
      <c r="C12" s="568">
        <v>178290.78000000003</v>
      </c>
      <c r="D12" s="568">
        <v>9099785.5591000002</v>
      </c>
      <c r="E12" s="568">
        <v>119927.50099999952</v>
      </c>
      <c r="F12" s="568">
        <v>174078.00430000026</v>
      </c>
      <c r="G12" s="568"/>
      <c r="H12" s="568">
        <v>61133.169999999991</v>
      </c>
      <c r="I12" s="614">
        <f t="shared" si="0"/>
        <v>8984070.8337999992</v>
      </c>
    </row>
    <row r="13" spans="1:9">
      <c r="A13" s="491">
        <v>7</v>
      </c>
      <c r="B13" s="498" t="s">
        <v>568</v>
      </c>
      <c r="C13" s="568">
        <v>134148.63000000003</v>
      </c>
      <c r="D13" s="568">
        <v>3580749.0350999981</v>
      </c>
      <c r="E13" s="568">
        <v>70446.59500000003</v>
      </c>
      <c r="F13" s="568">
        <v>68084.325299999968</v>
      </c>
      <c r="G13" s="568"/>
      <c r="H13" s="568">
        <v>36779.995739999991</v>
      </c>
      <c r="I13" s="614">
        <f t="shared" si="0"/>
        <v>3576366.7447999977</v>
      </c>
    </row>
    <row r="14" spans="1:9">
      <c r="A14" s="491">
        <v>8</v>
      </c>
      <c r="B14" s="498" t="s">
        <v>569</v>
      </c>
      <c r="C14" s="568">
        <v>4023236.8011399982</v>
      </c>
      <c r="D14" s="568">
        <v>127155721.89947581</v>
      </c>
      <c r="E14" s="568">
        <v>2137147.5779002821</v>
      </c>
      <c r="F14" s="568">
        <v>2452271.471099942</v>
      </c>
      <c r="G14" s="568"/>
      <c r="H14" s="568">
        <v>916052.78000000049</v>
      </c>
      <c r="I14" s="614">
        <f t="shared" si="0"/>
        <v>126589539.65161559</v>
      </c>
    </row>
    <row r="15" spans="1:9">
      <c r="A15" s="491">
        <v>9</v>
      </c>
      <c r="B15" s="498" t="s">
        <v>570</v>
      </c>
      <c r="C15" s="568">
        <v>560360.25999999954</v>
      </c>
      <c r="D15" s="568">
        <v>26326504.337499935</v>
      </c>
      <c r="E15" s="568">
        <v>389709.47800000163</v>
      </c>
      <c r="F15" s="568">
        <v>504775.84390000044</v>
      </c>
      <c r="G15" s="568"/>
      <c r="H15" s="568">
        <v>117664.97684</v>
      </c>
      <c r="I15" s="614">
        <f t="shared" si="0"/>
        <v>25992379.275599934</v>
      </c>
    </row>
    <row r="16" spans="1:9">
      <c r="A16" s="491">
        <v>10</v>
      </c>
      <c r="B16" s="498" t="s">
        <v>571</v>
      </c>
      <c r="C16" s="568">
        <v>395672.12999999995</v>
      </c>
      <c r="D16" s="568">
        <v>11077057.947207978</v>
      </c>
      <c r="E16" s="568">
        <v>207605.92799999914</v>
      </c>
      <c r="F16" s="568">
        <v>210783.25830000028</v>
      </c>
      <c r="G16" s="568"/>
      <c r="H16" s="568">
        <v>94703.710000000021</v>
      </c>
      <c r="I16" s="614">
        <f t="shared" si="0"/>
        <v>11054340.890907979</v>
      </c>
    </row>
    <row r="17" spans="1:9">
      <c r="A17" s="491">
        <v>11</v>
      </c>
      <c r="B17" s="498" t="s">
        <v>572</v>
      </c>
      <c r="C17" s="568">
        <v>149243.40999999997</v>
      </c>
      <c r="D17" s="568">
        <v>10301737.076200005</v>
      </c>
      <c r="E17" s="568">
        <v>91540.519999999786</v>
      </c>
      <c r="F17" s="568">
        <v>197555.70800000045</v>
      </c>
      <c r="G17" s="568"/>
      <c r="H17" s="568">
        <v>50806.46</v>
      </c>
      <c r="I17" s="614">
        <f t="shared" si="0"/>
        <v>10161884.258200005</v>
      </c>
    </row>
    <row r="18" spans="1:9">
      <c r="A18" s="491">
        <v>12</v>
      </c>
      <c r="B18" s="498" t="s">
        <v>573</v>
      </c>
      <c r="C18" s="568">
        <v>1598781.531479999</v>
      </c>
      <c r="D18" s="568">
        <v>104598311.03846359</v>
      </c>
      <c r="E18" s="568">
        <v>1066553.3741000367</v>
      </c>
      <c r="F18" s="568">
        <v>2004069.2173999606</v>
      </c>
      <c r="G18" s="568"/>
      <c r="H18" s="568">
        <v>400062.54000000004</v>
      </c>
      <c r="I18" s="614">
        <f t="shared" si="0"/>
        <v>103126469.97844361</v>
      </c>
    </row>
    <row r="19" spans="1:9">
      <c r="A19" s="491">
        <v>13</v>
      </c>
      <c r="B19" s="498" t="s">
        <v>574</v>
      </c>
      <c r="C19" s="568">
        <v>421214.5037</v>
      </c>
      <c r="D19" s="568">
        <v>17374676.298672006</v>
      </c>
      <c r="E19" s="568">
        <v>250567.36989999999</v>
      </c>
      <c r="F19" s="568">
        <v>338952.42150000011</v>
      </c>
      <c r="G19" s="568"/>
      <c r="H19" s="568">
        <v>106364.66</v>
      </c>
      <c r="I19" s="614">
        <f t="shared" si="0"/>
        <v>17206371.010972004</v>
      </c>
    </row>
    <row r="20" spans="1:9">
      <c r="A20" s="491">
        <v>14</v>
      </c>
      <c r="B20" s="498" t="s">
        <v>575</v>
      </c>
      <c r="C20" s="568">
        <v>364214.4</v>
      </c>
      <c r="D20" s="568">
        <v>51523958.991184063</v>
      </c>
      <c r="E20" s="568">
        <v>357740.61899999483</v>
      </c>
      <c r="F20" s="568">
        <v>972484.28450000077</v>
      </c>
      <c r="G20" s="568"/>
      <c r="H20" s="568">
        <v>75547.180000000008</v>
      </c>
      <c r="I20" s="614">
        <f t="shared" si="0"/>
        <v>50557948.487684064</v>
      </c>
    </row>
    <row r="21" spans="1:9">
      <c r="A21" s="491">
        <v>15</v>
      </c>
      <c r="B21" s="498" t="s">
        <v>576</v>
      </c>
      <c r="C21" s="568">
        <v>1853296.4190120001</v>
      </c>
      <c r="D21" s="568">
        <v>28169774.080315989</v>
      </c>
      <c r="E21" s="568">
        <v>920636.85789998574</v>
      </c>
      <c r="F21" s="568">
        <v>541112.15569999861</v>
      </c>
      <c r="G21" s="568"/>
      <c r="H21" s="568">
        <v>279591.65000000014</v>
      </c>
      <c r="I21" s="614">
        <f t="shared" si="0"/>
        <v>28561321.485728003</v>
      </c>
    </row>
    <row r="22" spans="1:9">
      <c r="A22" s="491">
        <v>16</v>
      </c>
      <c r="B22" s="498" t="s">
        <v>577</v>
      </c>
      <c r="C22" s="568">
        <v>172617.15000000002</v>
      </c>
      <c r="D22" s="568">
        <v>7386629.1761599928</v>
      </c>
      <c r="E22" s="568">
        <v>88943.856000000349</v>
      </c>
      <c r="F22" s="568">
        <v>142058.75750000001</v>
      </c>
      <c r="G22" s="568"/>
      <c r="H22" s="568">
        <v>102288.00000000001</v>
      </c>
      <c r="I22" s="614">
        <f t="shared" si="0"/>
        <v>7328243.7126599923</v>
      </c>
    </row>
    <row r="23" spans="1:9">
      <c r="A23" s="491">
        <v>17</v>
      </c>
      <c r="B23" s="498" t="s">
        <v>578</v>
      </c>
      <c r="C23" s="568">
        <v>38236.519999999997</v>
      </c>
      <c r="D23" s="568">
        <v>740019.83869999973</v>
      </c>
      <c r="E23" s="568">
        <v>16244.813000000002</v>
      </c>
      <c r="F23" s="568">
        <v>14594.058199999996</v>
      </c>
      <c r="G23" s="568"/>
      <c r="H23" s="568">
        <v>3226.17</v>
      </c>
      <c r="I23" s="614">
        <f t="shared" si="0"/>
        <v>747417.48749999981</v>
      </c>
    </row>
    <row r="24" spans="1:9">
      <c r="A24" s="491">
        <v>18</v>
      </c>
      <c r="B24" s="498" t="s">
        <v>579</v>
      </c>
      <c r="C24" s="568">
        <v>35165.64</v>
      </c>
      <c r="D24" s="568">
        <v>3142324.9300000006</v>
      </c>
      <c r="E24" s="568">
        <v>23106.213999999993</v>
      </c>
      <c r="F24" s="568">
        <v>60918.991800000003</v>
      </c>
      <c r="G24" s="568"/>
      <c r="H24" s="568">
        <v>12687.029999999999</v>
      </c>
      <c r="I24" s="614">
        <f t="shared" si="0"/>
        <v>3093465.3642000007</v>
      </c>
    </row>
    <row r="25" spans="1:9">
      <c r="A25" s="491">
        <v>19</v>
      </c>
      <c r="B25" s="498" t="s">
        <v>580</v>
      </c>
      <c r="C25" s="568">
        <v>108763.7806</v>
      </c>
      <c r="D25" s="568">
        <v>4356908.7413000008</v>
      </c>
      <c r="E25" s="568">
        <v>76720.338600000308</v>
      </c>
      <c r="F25" s="568">
        <v>83471.998700000026</v>
      </c>
      <c r="G25" s="568"/>
      <c r="H25" s="568">
        <v>60055.250000000007</v>
      </c>
      <c r="I25" s="614">
        <f t="shared" si="0"/>
        <v>4305480.1846000003</v>
      </c>
    </row>
    <row r="26" spans="1:9">
      <c r="A26" s="491">
        <v>20</v>
      </c>
      <c r="B26" s="498" t="s">
        <v>581</v>
      </c>
      <c r="C26" s="568">
        <v>133167.27000000002</v>
      </c>
      <c r="D26" s="568">
        <v>13453855.39278001</v>
      </c>
      <c r="E26" s="568">
        <v>78777.947000000626</v>
      </c>
      <c r="F26" s="568">
        <v>264141.95820000028</v>
      </c>
      <c r="G26" s="568"/>
      <c r="H26" s="568">
        <v>35600.89</v>
      </c>
      <c r="I26" s="614">
        <f t="shared" si="0"/>
        <v>13244102.757580008</v>
      </c>
    </row>
    <row r="27" spans="1:9">
      <c r="A27" s="491">
        <v>21</v>
      </c>
      <c r="B27" s="498" t="s">
        <v>582</v>
      </c>
      <c r="C27" s="568">
        <v>20226.97</v>
      </c>
      <c r="D27" s="568">
        <v>2151501.8663999983</v>
      </c>
      <c r="E27" s="568">
        <v>9538.8890000000101</v>
      </c>
      <c r="F27" s="568">
        <v>42186.901499999985</v>
      </c>
      <c r="G27" s="568"/>
      <c r="H27" s="568">
        <v>2594.62</v>
      </c>
      <c r="I27" s="614">
        <f t="shared" si="0"/>
        <v>2120003.0458999984</v>
      </c>
    </row>
    <row r="28" spans="1:9">
      <c r="A28" s="491">
        <v>22</v>
      </c>
      <c r="B28" s="498" t="s">
        <v>583</v>
      </c>
      <c r="C28" s="568">
        <v>33472.219999999994</v>
      </c>
      <c r="D28" s="568">
        <v>900112.97999999986</v>
      </c>
      <c r="E28" s="568">
        <v>17845.223000000005</v>
      </c>
      <c r="F28" s="568">
        <v>17493.623399999997</v>
      </c>
      <c r="G28" s="568"/>
      <c r="H28" s="568">
        <v>1439.33</v>
      </c>
      <c r="I28" s="614">
        <f t="shared" si="0"/>
        <v>898246.3535999998</v>
      </c>
    </row>
    <row r="29" spans="1:9">
      <c r="A29" s="491">
        <v>23</v>
      </c>
      <c r="B29" s="498" t="s">
        <v>584</v>
      </c>
      <c r="C29" s="568">
        <v>10818306.81618</v>
      </c>
      <c r="D29" s="568">
        <v>365148282.31471241</v>
      </c>
      <c r="E29" s="568">
        <v>6027390.3353993865</v>
      </c>
      <c r="F29" s="568">
        <v>6998079.9403004078</v>
      </c>
      <c r="G29" s="568"/>
      <c r="H29" s="568">
        <v>3892222.7599999909</v>
      </c>
      <c r="I29" s="614">
        <f t="shared" si="0"/>
        <v>362941118.8551926</v>
      </c>
    </row>
    <row r="30" spans="1:9">
      <c r="A30" s="491">
        <v>24</v>
      </c>
      <c r="B30" s="498" t="s">
        <v>585</v>
      </c>
      <c r="C30" s="568">
        <v>15760598.768819964</v>
      </c>
      <c r="D30" s="568">
        <v>706070665.0724498</v>
      </c>
      <c r="E30" s="568">
        <v>9872973.7682936937</v>
      </c>
      <c r="F30" s="568">
        <v>13460768.418802362</v>
      </c>
      <c r="G30" s="568"/>
      <c r="H30" s="568">
        <v>3688403.198240004</v>
      </c>
      <c r="I30" s="614">
        <f t="shared" si="0"/>
        <v>698497521.65417361</v>
      </c>
    </row>
    <row r="31" spans="1:9">
      <c r="A31" s="491">
        <v>25</v>
      </c>
      <c r="B31" s="498" t="s">
        <v>586</v>
      </c>
      <c r="C31" s="568">
        <v>3381787.03516</v>
      </c>
      <c r="D31" s="569">
        <v>143674244.36200801</v>
      </c>
      <c r="E31" s="568">
        <v>1946920.91990069</v>
      </c>
      <c r="F31" s="568">
        <v>2772597.81880002</v>
      </c>
      <c r="G31" s="568"/>
      <c r="H31" s="569">
        <v>1030086.8299999989</v>
      </c>
      <c r="I31" s="614">
        <f t="shared" si="0"/>
        <v>142336512.65846729</v>
      </c>
    </row>
    <row r="32" spans="1:9">
      <c r="A32" s="491">
        <v>26</v>
      </c>
      <c r="B32" s="498" t="s">
        <v>587</v>
      </c>
      <c r="C32" s="568">
        <v>1966742.7800000007</v>
      </c>
      <c r="D32" s="569">
        <v>68434814.265716046</v>
      </c>
      <c r="E32" s="568">
        <v>1301077.9110000031</v>
      </c>
      <c r="F32" s="568">
        <v>1310709.2168999687</v>
      </c>
      <c r="G32" s="568"/>
      <c r="H32" s="569">
        <v>687380.02000000072</v>
      </c>
      <c r="I32" s="614">
        <f t="shared" si="0"/>
        <v>67789769.917816073</v>
      </c>
    </row>
    <row r="33" spans="1:9">
      <c r="A33" s="491">
        <v>27</v>
      </c>
      <c r="B33" s="491" t="s">
        <v>165</v>
      </c>
      <c r="C33" s="568">
        <v>8847344</v>
      </c>
      <c r="D33" s="569">
        <v>172776884.12</v>
      </c>
      <c r="E33" s="568">
        <v>5086640</v>
      </c>
      <c r="F33" s="568"/>
      <c r="G33" s="568"/>
      <c r="H33" s="568">
        <v>555025</v>
      </c>
      <c r="I33" s="614">
        <f t="shared" si="0"/>
        <v>176537588.12</v>
      </c>
    </row>
    <row r="34" spans="1:9">
      <c r="A34" s="491">
        <v>28</v>
      </c>
      <c r="B34" s="483" t="s">
        <v>68</v>
      </c>
      <c r="C34" s="571">
        <f>SUM(C7:C33)</f>
        <v>51670813.416091964</v>
      </c>
      <c r="D34" s="571">
        <f t="shared" ref="D34:H34" si="1">SUM(D7:D33)</f>
        <v>2216973784.5522656</v>
      </c>
      <c r="E34" s="571">
        <f t="shared" si="1"/>
        <v>30636099.833894067</v>
      </c>
      <c r="F34" s="571">
        <f t="shared" si="1"/>
        <v>33985621.839702666</v>
      </c>
      <c r="G34" s="483">
        <f t="shared" si="1"/>
        <v>0</v>
      </c>
      <c r="H34" s="571">
        <f t="shared" si="1"/>
        <v>12368592.620819995</v>
      </c>
      <c r="I34" s="618">
        <f t="shared" si="0"/>
        <v>2204022876.2947607</v>
      </c>
    </row>
    <row r="35" spans="1:9">
      <c r="H35" s="610"/>
    </row>
    <row r="36" spans="1:9">
      <c r="B36" s="499"/>
    </row>
    <row r="42" spans="1:9">
      <c r="A42" s="495"/>
      <c r="B42" s="495"/>
    </row>
    <row r="43" spans="1:9">
      <c r="A43" s="495"/>
      <c r="B43" s="495"/>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90" zoomScaleNormal="90" workbookViewId="0">
      <selection activeCell="C11" sqref="C11"/>
    </sheetView>
  </sheetViews>
  <sheetFormatPr defaultColWidth="9.140625" defaultRowHeight="12.75"/>
  <cols>
    <col min="1" max="1" width="11.85546875" style="477" bestFit="1" customWidth="1"/>
    <col min="2" max="2" width="108" style="477" bestFit="1" customWidth="1"/>
    <col min="3" max="3" width="35.5703125" style="477" customWidth="1"/>
    <col min="4" max="4" width="38.42578125" style="477" customWidth="1"/>
    <col min="5" max="16384" width="9.140625" style="477"/>
  </cols>
  <sheetData>
    <row r="1" spans="1:4" ht="13.5">
      <c r="A1" s="476" t="s">
        <v>188</v>
      </c>
      <c r="B1" s="400" t="str">
        <f>Info!C2</f>
        <v>სს "კრედო ბანკი"</v>
      </c>
    </row>
    <row r="2" spans="1:4">
      <c r="A2" s="476" t="s">
        <v>189</v>
      </c>
      <c r="B2" s="479">
        <f>'1. key ratios'!B2</f>
        <v>44926</v>
      </c>
    </row>
    <row r="3" spans="1:4">
      <c r="A3" s="478" t="s">
        <v>588</v>
      </c>
    </row>
    <row r="5" spans="1:4" ht="51">
      <c r="A5" s="713" t="s">
        <v>589</v>
      </c>
      <c r="B5" s="713"/>
      <c r="C5" s="480" t="s">
        <v>590</v>
      </c>
      <c r="D5" s="480" t="s">
        <v>591</v>
      </c>
    </row>
    <row r="6" spans="1:4">
      <c r="A6" s="500">
        <v>1</v>
      </c>
      <c r="B6" s="501" t="s">
        <v>592</v>
      </c>
      <c r="C6" s="568">
        <v>63964532.452470325</v>
      </c>
      <c r="D6" s="491"/>
    </row>
    <row r="7" spans="1:4">
      <c r="A7" s="502">
        <v>2</v>
      </c>
      <c r="B7" s="501" t="s">
        <v>593</v>
      </c>
      <c r="C7" s="567">
        <f>SUM(C8:C11)</f>
        <v>26046985.526277471</v>
      </c>
      <c r="D7" s="491">
        <f>SUM(D8:D11)</f>
        <v>0</v>
      </c>
    </row>
    <row r="8" spans="1:4">
      <c r="A8" s="502">
        <v>2.1</v>
      </c>
      <c r="B8" s="503" t="s">
        <v>594</v>
      </c>
      <c r="C8" s="568">
        <v>9789213.9641996212</v>
      </c>
      <c r="D8" s="491"/>
    </row>
    <row r="9" spans="1:4">
      <c r="A9" s="502">
        <v>2.2000000000000002</v>
      </c>
      <c r="B9" s="503" t="s">
        <v>595</v>
      </c>
      <c r="C9" s="568">
        <v>15570919.123936553</v>
      </c>
      <c r="D9" s="491"/>
    </row>
    <row r="10" spans="1:4">
      <c r="A10" s="502">
        <v>2.2999999999999998</v>
      </c>
      <c r="B10" s="503" t="s">
        <v>596</v>
      </c>
      <c r="C10" s="569">
        <v>686852.43814129604</v>
      </c>
      <c r="D10" s="491"/>
    </row>
    <row r="11" spans="1:4">
      <c r="A11" s="502">
        <v>2.4</v>
      </c>
      <c r="B11" s="503" t="s">
        <v>597</v>
      </c>
      <c r="C11" s="568">
        <v>0</v>
      </c>
      <c r="D11" s="491"/>
    </row>
    <row r="12" spans="1:4">
      <c r="A12" s="500">
        <v>3</v>
      </c>
      <c r="B12" s="501" t="s">
        <v>598</v>
      </c>
      <c r="C12" s="567">
        <f>SUM(C13:C18)</f>
        <v>30476436.329077538</v>
      </c>
      <c r="D12" s="491">
        <f>SUM(D13:D18)</f>
        <v>0</v>
      </c>
    </row>
    <row r="13" spans="1:4">
      <c r="A13" s="502">
        <v>3.1</v>
      </c>
      <c r="B13" s="503" t="s">
        <v>599</v>
      </c>
      <c r="C13" s="568">
        <v>11823619.6</v>
      </c>
      <c r="D13" s="491"/>
    </row>
    <row r="14" spans="1:4">
      <c r="A14" s="502">
        <v>3.2</v>
      </c>
      <c r="B14" s="503" t="s">
        <v>600</v>
      </c>
      <c r="C14" s="568">
        <v>6987630.5026198998</v>
      </c>
      <c r="D14" s="491"/>
    </row>
    <row r="15" spans="1:4">
      <c r="A15" s="502">
        <v>3.3</v>
      </c>
      <c r="B15" s="503" t="s">
        <v>601</v>
      </c>
      <c r="C15" s="568">
        <v>4157690.1406386797</v>
      </c>
      <c r="D15" s="491"/>
    </row>
    <row r="16" spans="1:4">
      <c r="A16" s="502">
        <v>3.4</v>
      </c>
      <c r="B16" s="503" t="s">
        <v>602</v>
      </c>
      <c r="C16" s="568">
        <v>6823272.4700456224</v>
      </c>
      <c r="D16" s="491"/>
    </row>
    <row r="17" spans="1:4">
      <c r="A17" s="502">
        <v>3.5</v>
      </c>
      <c r="B17" s="503" t="s">
        <v>603</v>
      </c>
      <c r="C17" s="569">
        <v>684223.61577333626</v>
      </c>
      <c r="D17" s="491"/>
    </row>
    <row r="18" spans="1:4">
      <c r="A18" s="502">
        <v>3.6</v>
      </c>
      <c r="B18" s="503" t="s">
        <v>604</v>
      </c>
      <c r="C18" s="568">
        <v>0</v>
      </c>
      <c r="D18" s="491"/>
    </row>
    <row r="19" spans="1:4">
      <c r="A19" s="504">
        <v>4</v>
      </c>
      <c r="B19" s="501" t="s">
        <v>605</v>
      </c>
      <c r="C19" s="567">
        <f>C6+C7-C12</f>
        <v>59535081.649670258</v>
      </c>
      <c r="D19" s="483">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90" zoomScaleNormal="90" workbookViewId="0">
      <selection activeCell="C19" sqref="C19"/>
    </sheetView>
  </sheetViews>
  <sheetFormatPr defaultColWidth="9.140625" defaultRowHeight="12.75"/>
  <cols>
    <col min="1" max="1" width="11.85546875" style="477" bestFit="1" customWidth="1"/>
    <col min="2" max="2" width="124.7109375" style="477" customWidth="1"/>
    <col min="3" max="3" width="21.5703125" style="477" customWidth="1"/>
    <col min="4" max="4" width="49.140625" style="477" customWidth="1"/>
    <col min="5" max="16384" width="9.140625" style="477"/>
  </cols>
  <sheetData>
    <row r="1" spans="1:4" ht="13.5">
      <c r="A1" s="476" t="s">
        <v>188</v>
      </c>
      <c r="B1" s="400" t="str">
        <f>Info!C2</f>
        <v>სს "კრედო ბანკი"</v>
      </c>
    </row>
    <row r="2" spans="1:4">
      <c r="A2" s="476" t="s">
        <v>189</v>
      </c>
      <c r="B2" s="479">
        <f>'1. key ratios'!B2</f>
        <v>44926</v>
      </c>
    </row>
    <row r="3" spans="1:4">
      <c r="A3" s="478" t="s">
        <v>606</v>
      </c>
    </row>
    <row r="4" spans="1:4">
      <c r="A4" s="478"/>
    </row>
    <row r="5" spans="1:4" ht="15" customHeight="1">
      <c r="A5" s="714" t="s">
        <v>607</v>
      </c>
      <c r="B5" s="715"/>
      <c r="C5" s="704" t="s">
        <v>608</v>
      </c>
      <c r="D5" s="718" t="s">
        <v>609</v>
      </c>
    </row>
    <row r="6" spans="1:4" ht="27" customHeight="1">
      <c r="A6" s="716"/>
      <c r="B6" s="717"/>
      <c r="C6" s="707"/>
      <c r="D6" s="718"/>
    </row>
    <row r="7" spans="1:4">
      <c r="A7" s="483">
        <v>1</v>
      </c>
      <c r="B7" s="483" t="s">
        <v>610</v>
      </c>
      <c r="C7" s="567">
        <v>54516558.337581947</v>
      </c>
      <c r="D7" s="505"/>
    </row>
    <row r="8" spans="1:4">
      <c r="A8" s="491">
        <v>2</v>
      </c>
      <c r="B8" s="491" t="s">
        <v>611</v>
      </c>
      <c r="C8" s="568">
        <v>14047813.580980549</v>
      </c>
      <c r="D8" s="505"/>
    </row>
    <row r="9" spans="1:4">
      <c r="A9" s="491">
        <v>3</v>
      </c>
      <c r="B9" s="506" t="s">
        <v>612</v>
      </c>
      <c r="C9" s="568">
        <v>1271.2960250498238</v>
      </c>
      <c r="D9" s="505"/>
    </row>
    <row r="10" spans="1:4">
      <c r="A10" s="491">
        <v>4</v>
      </c>
      <c r="B10" s="491" t="s">
        <v>613</v>
      </c>
      <c r="C10" s="567">
        <f>SUM(C11:C18)</f>
        <v>25773786.485708304</v>
      </c>
      <c r="D10" s="505"/>
    </row>
    <row r="11" spans="1:4">
      <c r="A11" s="491">
        <v>5</v>
      </c>
      <c r="B11" s="507" t="s">
        <v>614</v>
      </c>
      <c r="C11" s="568"/>
      <c r="D11" s="505"/>
    </row>
    <row r="12" spans="1:4">
      <c r="A12" s="491">
        <v>6</v>
      </c>
      <c r="B12" s="507" t="s">
        <v>615</v>
      </c>
      <c r="C12" s="568"/>
      <c r="D12" s="505"/>
    </row>
    <row r="13" spans="1:4">
      <c r="A13" s="491">
        <v>7</v>
      </c>
      <c r="B13" s="507" t="s">
        <v>616</v>
      </c>
      <c r="C13" s="568">
        <v>13912302</v>
      </c>
      <c r="D13" s="505"/>
    </row>
    <row r="14" spans="1:4">
      <c r="A14" s="491">
        <v>8</v>
      </c>
      <c r="B14" s="507" t="s">
        <v>617</v>
      </c>
      <c r="C14" s="568"/>
      <c r="D14" s="491"/>
    </row>
    <row r="15" spans="1:4">
      <c r="A15" s="491">
        <v>9</v>
      </c>
      <c r="B15" s="507" t="s">
        <v>618</v>
      </c>
      <c r="C15" s="568"/>
      <c r="D15" s="491"/>
    </row>
    <row r="16" spans="1:4">
      <c r="A16" s="491">
        <v>10</v>
      </c>
      <c r="B16" s="507" t="s">
        <v>619</v>
      </c>
      <c r="C16" s="568">
        <v>11813567.83</v>
      </c>
      <c r="D16" s="505"/>
    </row>
    <row r="17" spans="1:4">
      <c r="A17" s="491">
        <v>11</v>
      </c>
      <c r="B17" s="507" t="s">
        <v>620</v>
      </c>
      <c r="C17" s="568"/>
      <c r="D17" s="491"/>
    </row>
    <row r="18" spans="1:4" ht="25.5">
      <c r="A18" s="491">
        <v>12</v>
      </c>
      <c r="B18" s="507" t="s">
        <v>621</v>
      </c>
      <c r="C18" s="568">
        <v>47916.655708305901</v>
      </c>
      <c r="D18" s="505"/>
    </row>
    <row r="19" spans="1:4">
      <c r="A19" s="483">
        <v>13</v>
      </c>
      <c r="B19" s="508" t="s">
        <v>622</v>
      </c>
      <c r="C19" s="567">
        <f>C7+C8+C9-C10</f>
        <v>42791856.728879251</v>
      </c>
      <c r="D19" s="509"/>
    </row>
    <row r="22" spans="1:4">
      <c r="B22" s="476"/>
    </row>
    <row r="23" spans="1:4">
      <c r="B23" s="476"/>
    </row>
    <row r="24" spans="1:4">
      <c r="B24" s="47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30"/>
  <sheetViews>
    <sheetView showGridLines="0" topLeftCell="A2" zoomScale="75" zoomScaleNormal="75" workbookViewId="0">
      <selection activeCell="C22" sqref="C22"/>
    </sheetView>
  </sheetViews>
  <sheetFormatPr defaultColWidth="9.140625" defaultRowHeight="12.75"/>
  <cols>
    <col min="1" max="1" width="11.85546875" style="477" bestFit="1" customWidth="1"/>
    <col min="2" max="2" width="80.7109375" style="477" customWidth="1"/>
    <col min="3" max="3" width="15.5703125" style="477" customWidth="1"/>
    <col min="4" max="5" width="22.28515625" style="477" customWidth="1"/>
    <col min="6" max="6" width="23.42578125" style="477" customWidth="1"/>
    <col min="7" max="14" width="22.28515625" style="477" customWidth="1"/>
    <col min="15" max="15" width="23.28515625" style="477" bestFit="1" customWidth="1"/>
    <col min="16" max="16" width="21.7109375" style="477" bestFit="1" customWidth="1"/>
    <col min="17" max="19" width="19" style="477" bestFit="1" customWidth="1"/>
    <col min="20" max="20" width="16.140625" style="477" customWidth="1"/>
    <col min="21" max="21" width="13.140625" style="477" bestFit="1" customWidth="1"/>
    <col min="22" max="22" width="20" style="477" customWidth="1"/>
    <col min="23" max="16384" width="9.140625" style="477"/>
  </cols>
  <sheetData>
    <row r="1" spans="1:22" ht="13.5">
      <c r="A1" s="476" t="s">
        <v>188</v>
      </c>
      <c r="B1" s="400" t="str">
        <f>Info!C2</f>
        <v>სს "კრედო ბანკი"</v>
      </c>
    </row>
    <row r="2" spans="1:22">
      <c r="A2" s="476" t="s">
        <v>189</v>
      </c>
      <c r="B2" s="479">
        <f>'1. key ratios'!B2</f>
        <v>44926</v>
      </c>
      <c r="C2" s="487"/>
    </row>
    <row r="3" spans="1:22">
      <c r="A3" s="478" t="s">
        <v>623</v>
      </c>
    </row>
    <row r="5" spans="1:22" ht="15" customHeight="1">
      <c r="A5" s="704" t="s">
        <v>624</v>
      </c>
      <c r="B5" s="706"/>
      <c r="C5" s="721" t="s">
        <v>625</v>
      </c>
      <c r="D5" s="722"/>
      <c r="E5" s="722"/>
      <c r="F5" s="722"/>
      <c r="G5" s="722"/>
      <c r="H5" s="722"/>
      <c r="I5" s="722"/>
      <c r="J5" s="722"/>
      <c r="K5" s="722"/>
      <c r="L5" s="722"/>
      <c r="M5" s="722"/>
      <c r="N5" s="722"/>
      <c r="O5" s="722"/>
      <c r="P5" s="722"/>
      <c r="Q5" s="722"/>
      <c r="R5" s="722"/>
      <c r="S5" s="722"/>
      <c r="T5" s="722"/>
      <c r="U5" s="723"/>
      <c r="V5" s="510"/>
    </row>
    <row r="6" spans="1:22">
      <c r="A6" s="719"/>
      <c r="B6" s="720"/>
      <c r="C6" s="724" t="s">
        <v>68</v>
      </c>
      <c r="D6" s="726" t="s">
        <v>626</v>
      </c>
      <c r="E6" s="726"/>
      <c r="F6" s="711"/>
      <c r="G6" s="727" t="s">
        <v>627</v>
      </c>
      <c r="H6" s="728"/>
      <c r="I6" s="728"/>
      <c r="J6" s="728"/>
      <c r="K6" s="729"/>
      <c r="L6" s="511"/>
      <c r="M6" s="730" t="s">
        <v>628</v>
      </c>
      <c r="N6" s="730"/>
      <c r="O6" s="711"/>
      <c r="P6" s="711"/>
      <c r="Q6" s="711"/>
      <c r="R6" s="711"/>
      <c r="S6" s="711"/>
      <c r="T6" s="711"/>
      <c r="U6" s="711"/>
      <c r="V6" s="511"/>
    </row>
    <row r="7" spans="1:22" ht="25.5">
      <c r="A7" s="707"/>
      <c r="B7" s="709"/>
      <c r="C7" s="725"/>
      <c r="D7" s="512"/>
      <c r="E7" s="489" t="s">
        <v>629</v>
      </c>
      <c r="F7" s="489" t="s">
        <v>630</v>
      </c>
      <c r="G7" s="487"/>
      <c r="H7" s="489" t="s">
        <v>629</v>
      </c>
      <c r="I7" s="489" t="s">
        <v>656</v>
      </c>
      <c r="J7" s="489" t="s">
        <v>631</v>
      </c>
      <c r="K7" s="489" t="s">
        <v>632</v>
      </c>
      <c r="L7" s="513"/>
      <c r="M7" s="526" t="s">
        <v>633</v>
      </c>
      <c r="N7" s="489" t="s">
        <v>631</v>
      </c>
      <c r="O7" s="489" t="s">
        <v>634</v>
      </c>
      <c r="P7" s="489" t="s">
        <v>635</v>
      </c>
      <c r="Q7" s="489" t="s">
        <v>636</v>
      </c>
      <c r="R7" s="489" t="s">
        <v>637</v>
      </c>
      <c r="S7" s="489" t="s">
        <v>638</v>
      </c>
      <c r="T7" s="514" t="s">
        <v>639</v>
      </c>
      <c r="U7" s="489" t="s">
        <v>640</v>
      </c>
      <c r="V7" s="510"/>
    </row>
    <row r="8" spans="1:22">
      <c r="A8" s="515">
        <v>1</v>
      </c>
      <c r="B8" s="483" t="s">
        <v>641</v>
      </c>
      <c r="C8" s="567">
        <f>D8+G8+L8</f>
        <v>1792622194.0720978</v>
      </c>
      <c r="D8" s="567">
        <f>SUM(D9:D14)</f>
        <v>1699281091.974498</v>
      </c>
      <c r="E8" s="567">
        <f t="shared" ref="E8:U8" si="0">SUM(E9:E14)</f>
        <v>4805494.7296999954</v>
      </c>
      <c r="F8" s="567">
        <f t="shared" si="0"/>
        <v>1015589</v>
      </c>
      <c r="G8" s="567">
        <f t="shared" si="0"/>
        <v>50549244.800999902</v>
      </c>
      <c r="H8" s="567">
        <f t="shared" si="0"/>
        <v>2428516.1474999986</v>
      </c>
      <c r="I8" s="567">
        <f t="shared" si="0"/>
        <v>4278935.2400000021</v>
      </c>
      <c r="J8" s="567">
        <f t="shared" si="0"/>
        <v>151583.65</v>
      </c>
      <c r="K8" s="567">
        <f t="shared" si="0"/>
        <v>94721.879600000015</v>
      </c>
      <c r="L8" s="567">
        <f t="shared" si="0"/>
        <v>42791857.296599895</v>
      </c>
      <c r="M8" s="567">
        <f t="shared" si="0"/>
        <v>1686879.4133999995</v>
      </c>
      <c r="N8" s="567">
        <f t="shared" si="0"/>
        <v>4439446.6599999983</v>
      </c>
      <c r="O8" s="567">
        <f t="shared" si="0"/>
        <v>9723963.3299999814</v>
      </c>
      <c r="P8" s="567">
        <f t="shared" si="0"/>
        <v>199358.31999999995</v>
      </c>
      <c r="Q8" s="567">
        <f t="shared" si="0"/>
        <v>0</v>
      </c>
      <c r="R8" s="567">
        <f t="shared" si="0"/>
        <v>0</v>
      </c>
      <c r="S8" s="567">
        <f t="shared" si="0"/>
        <v>0</v>
      </c>
      <c r="T8" s="567">
        <f t="shared" si="0"/>
        <v>0</v>
      </c>
      <c r="U8" s="567">
        <f t="shared" si="0"/>
        <v>7257724.342000003</v>
      </c>
    </row>
    <row r="9" spans="1:22">
      <c r="A9" s="491">
        <v>1.1000000000000001</v>
      </c>
      <c r="B9" s="516" t="s">
        <v>642</v>
      </c>
      <c r="C9" s="567">
        <f t="shared" ref="C9:C27" si="1">D9+G9+L9</f>
        <v>0</v>
      </c>
      <c r="D9" s="568"/>
      <c r="E9" s="568"/>
      <c r="F9" s="568"/>
      <c r="G9" s="568"/>
      <c r="H9" s="568"/>
      <c r="I9" s="568"/>
      <c r="J9" s="568"/>
      <c r="K9" s="568"/>
      <c r="L9" s="568"/>
      <c r="M9" s="568"/>
      <c r="N9" s="568"/>
      <c r="O9" s="568"/>
      <c r="P9" s="568"/>
      <c r="Q9" s="568"/>
      <c r="R9" s="568"/>
      <c r="S9" s="568"/>
      <c r="T9" s="568"/>
      <c r="U9" s="568"/>
    </row>
    <row r="10" spans="1:22">
      <c r="A10" s="491">
        <v>1.2</v>
      </c>
      <c r="B10" s="516" t="s">
        <v>643</v>
      </c>
      <c r="C10" s="567">
        <f t="shared" si="1"/>
        <v>0</v>
      </c>
      <c r="D10" s="568"/>
      <c r="E10" s="568"/>
      <c r="F10" s="568"/>
      <c r="G10" s="568"/>
      <c r="H10" s="568"/>
      <c r="I10" s="568"/>
      <c r="J10" s="568"/>
      <c r="K10" s="568"/>
      <c r="L10" s="568"/>
      <c r="M10" s="568"/>
      <c r="N10" s="568"/>
      <c r="O10" s="568"/>
      <c r="P10" s="568"/>
      <c r="Q10" s="568"/>
      <c r="R10" s="568"/>
      <c r="S10" s="568"/>
      <c r="T10" s="568"/>
      <c r="U10" s="568"/>
    </row>
    <row r="11" spans="1:22">
      <c r="A11" s="491">
        <v>1.3</v>
      </c>
      <c r="B11" s="516" t="s">
        <v>644</v>
      </c>
      <c r="C11" s="567">
        <f t="shared" si="1"/>
        <v>0</v>
      </c>
      <c r="D11" s="568"/>
      <c r="E11" s="568"/>
      <c r="F11" s="568"/>
      <c r="G11" s="568"/>
      <c r="H11" s="568"/>
      <c r="I11" s="568"/>
      <c r="J11" s="568"/>
      <c r="K11" s="568"/>
      <c r="L11" s="568"/>
      <c r="M11" s="568"/>
      <c r="N11" s="568"/>
      <c r="O11" s="568"/>
      <c r="P11" s="568"/>
      <c r="Q11" s="568"/>
      <c r="R11" s="568"/>
      <c r="S11" s="568"/>
      <c r="T11" s="568"/>
      <c r="U11" s="568"/>
    </row>
    <row r="12" spans="1:22">
      <c r="A12" s="491">
        <v>1.4</v>
      </c>
      <c r="B12" s="516" t="s">
        <v>645</v>
      </c>
      <c r="C12" s="567">
        <f t="shared" si="1"/>
        <v>0</v>
      </c>
      <c r="D12" s="568"/>
      <c r="E12" s="568"/>
      <c r="F12" s="568"/>
      <c r="G12" s="568"/>
      <c r="H12" s="568"/>
      <c r="I12" s="568"/>
      <c r="J12" s="568"/>
      <c r="K12" s="568"/>
      <c r="L12" s="568"/>
      <c r="M12" s="568"/>
      <c r="N12" s="568"/>
      <c r="O12" s="568"/>
      <c r="P12" s="568"/>
      <c r="Q12" s="568"/>
      <c r="R12" s="568"/>
      <c r="S12" s="568"/>
      <c r="T12" s="568"/>
      <c r="U12" s="568"/>
    </row>
    <row r="13" spans="1:22">
      <c r="A13" s="491">
        <v>1.5</v>
      </c>
      <c r="B13" s="516" t="s">
        <v>646</v>
      </c>
      <c r="C13" s="567">
        <f t="shared" si="1"/>
        <v>90338662.992499948</v>
      </c>
      <c r="D13" s="568">
        <v>88105730.134399951</v>
      </c>
      <c r="E13" s="568"/>
      <c r="F13" s="568"/>
      <c r="G13" s="568">
        <v>1964612.0367000003</v>
      </c>
      <c r="H13" s="568">
        <v>25993.08</v>
      </c>
      <c r="I13" s="568"/>
      <c r="J13" s="568">
        <v>127675.90999999999</v>
      </c>
      <c r="K13" s="568"/>
      <c r="L13" s="568">
        <v>268320.82140000007</v>
      </c>
      <c r="M13" s="568"/>
      <c r="N13" s="568"/>
      <c r="O13" s="568">
        <v>3385.45</v>
      </c>
      <c r="P13" s="568"/>
      <c r="Q13" s="568"/>
      <c r="R13" s="568"/>
      <c r="S13" s="568"/>
      <c r="T13" s="568"/>
      <c r="U13" s="569">
        <v>104173.57060000001</v>
      </c>
    </row>
    <row r="14" spans="1:22">
      <c r="A14" s="491">
        <v>1.6</v>
      </c>
      <c r="B14" s="516" t="s">
        <v>647</v>
      </c>
      <c r="C14" s="567">
        <f t="shared" si="1"/>
        <v>1702283531.0795979</v>
      </c>
      <c r="D14" s="568">
        <v>1611175361.8400981</v>
      </c>
      <c r="E14" s="568">
        <v>4805494.7296999954</v>
      </c>
      <c r="F14" s="569">
        <v>1015589</v>
      </c>
      <c r="G14" s="568">
        <v>48584632.764299899</v>
      </c>
      <c r="H14" s="568">
        <v>2402523.0674999985</v>
      </c>
      <c r="I14" s="568">
        <v>4278935.2400000021</v>
      </c>
      <c r="J14" s="568">
        <v>23907.739999999994</v>
      </c>
      <c r="K14" s="569">
        <v>94721.879600000015</v>
      </c>
      <c r="L14" s="568">
        <v>42523536.475199893</v>
      </c>
      <c r="M14" s="568">
        <v>1686879.4133999995</v>
      </c>
      <c r="N14" s="568">
        <v>4439446.6599999983</v>
      </c>
      <c r="O14" s="568">
        <v>9720577.8799999822</v>
      </c>
      <c r="P14" s="568">
        <v>199358.31999999995</v>
      </c>
      <c r="Q14" s="568"/>
      <c r="R14" s="568"/>
      <c r="S14" s="568"/>
      <c r="T14" s="568"/>
      <c r="U14" s="569">
        <v>7153550.7714000028</v>
      </c>
    </row>
    <row r="15" spans="1:22">
      <c r="A15" s="515">
        <v>2</v>
      </c>
      <c r="B15" s="483" t="s">
        <v>648</v>
      </c>
      <c r="C15" s="567">
        <f t="shared" si="1"/>
        <v>47908709.230000004</v>
      </c>
      <c r="D15" s="567">
        <f>SUM(D16:D21)</f>
        <v>47908709.230000004</v>
      </c>
      <c r="E15" s="568"/>
      <c r="F15" s="568"/>
      <c r="G15" s="568"/>
      <c r="H15" s="568"/>
      <c r="I15" s="568"/>
      <c r="J15" s="568"/>
      <c r="K15" s="568"/>
      <c r="L15" s="568"/>
      <c r="M15" s="568"/>
      <c r="N15" s="568"/>
      <c r="O15" s="568"/>
      <c r="P15" s="568"/>
      <c r="Q15" s="568"/>
      <c r="R15" s="568"/>
      <c r="S15" s="568"/>
      <c r="T15" s="568"/>
      <c r="U15" s="568"/>
    </row>
    <row r="16" spans="1:22">
      <c r="A16" s="491">
        <v>2.1</v>
      </c>
      <c r="B16" s="516" t="s">
        <v>642</v>
      </c>
      <c r="C16" s="567">
        <f t="shared" si="1"/>
        <v>0</v>
      </c>
      <c r="D16" s="568"/>
      <c r="E16" s="568"/>
      <c r="F16" s="568"/>
      <c r="G16" s="568"/>
      <c r="H16" s="568"/>
      <c r="I16" s="568"/>
      <c r="J16" s="568"/>
      <c r="K16" s="568"/>
      <c r="L16" s="568"/>
      <c r="M16" s="568"/>
      <c r="N16" s="568"/>
      <c r="O16" s="568"/>
      <c r="P16" s="568"/>
      <c r="Q16" s="568"/>
      <c r="R16" s="568"/>
      <c r="S16" s="568"/>
      <c r="T16" s="568"/>
      <c r="U16" s="568"/>
    </row>
    <row r="17" spans="1:21">
      <c r="A17" s="491">
        <v>2.2000000000000002</v>
      </c>
      <c r="B17" s="516" t="s">
        <v>643</v>
      </c>
      <c r="C17" s="567">
        <f t="shared" si="1"/>
        <v>21908709.230000004</v>
      </c>
      <c r="D17" s="568">
        <v>21908709.230000004</v>
      </c>
      <c r="E17" s="568"/>
      <c r="F17" s="568"/>
      <c r="G17" s="568"/>
      <c r="H17" s="568"/>
      <c r="I17" s="568"/>
      <c r="J17" s="568"/>
      <c r="K17" s="568"/>
      <c r="L17" s="568"/>
      <c r="M17" s="568"/>
      <c r="N17" s="568"/>
      <c r="O17" s="568"/>
      <c r="P17" s="568"/>
      <c r="Q17" s="568"/>
      <c r="R17" s="568"/>
      <c r="S17" s="568"/>
      <c r="T17" s="568"/>
      <c r="U17" s="568"/>
    </row>
    <row r="18" spans="1:21">
      <c r="A18" s="491">
        <v>2.2999999999999998</v>
      </c>
      <c r="B18" s="516" t="s">
        <v>644</v>
      </c>
      <c r="C18" s="567">
        <f t="shared" si="1"/>
        <v>26000000</v>
      </c>
      <c r="D18" s="568">
        <v>26000000</v>
      </c>
      <c r="E18" s="568"/>
      <c r="F18" s="568"/>
      <c r="G18" s="568"/>
      <c r="H18" s="568"/>
      <c r="I18" s="568"/>
      <c r="J18" s="568"/>
      <c r="K18" s="568"/>
      <c r="L18" s="568"/>
      <c r="M18" s="568"/>
      <c r="N18" s="568"/>
      <c r="O18" s="568"/>
      <c r="P18" s="568"/>
      <c r="Q18" s="568"/>
      <c r="R18" s="568"/>
      <c r="S18" s="568"/>
      <c r="T18" s="568"/>
      <c r="U18" s="568"/>
    </row>
    <row r="19" spans="1:21">
      <c r="A19" s="491">
        <v>2.4</v>
      </c>
      <c r="B19" s="516" t="s">
        <v>645</v>
      </c>
      <c r="C19" s="567">
        <f t="shared" si="1"/>
        <v>0</v>
      </c>
      <c r="D19" s="568"/>
      <c r="E19" s="568"/>
      <c r="F19" s="568"/>
      <c r="G19" s="568"/>
      <c r="H19" s="568"/>
      <c r="I19" s="568"/>
      <c r="J19" s="568"/>
      <c r="K19" s="568"/>
      <c r="L19" s="568"/>
      <c r="M19" s="568"/>
      <c r="N19" s="568"/>
      <c r="O19" s="568"/>
      <c r="P19" s="568"/>
      <c r="Q19" s="568"/>
      <c r="R19" s="568"/>
      <c r="S19" s="568"/>
      <c r="T19" s="568"/>
      <c r="U19" s="568"/>
    </row>
    <row r="20" spans="1:21">
      <c r="A20" s="491">
        <v>2.5</v>
      </c>
      <c r="B20" s="516" t="s">
        <v>646</v>
      </c>
      <c r="C20" s="567">
        <f t="shared" si="1"/>
        <v>0</v>
      </c>
      <c r="D20" s="568"/>
      <c r="E20" s="568"/>
      <c r="F20" s="568"/>
      <c r="G20" s="568"/>
      <c r="H20" s="568"/>
      <c r="I20" s="568"/>
      <c r="J20" s="568"/>
      <c r="K20" s="568"/>
      <c r="L20" s="568"/>
      <c r="M20" s="568"/>
      <c r="N20" s="568"/>
      <c r="O20" s="568"/>
      <c r="P20" s="568"/>
      <c r="Q20" s="568"/>
      <c r="R20" s="568"/>
      <c r="S20" s="568"/>
      <c r="T20" s="568"/>
      <c r="U20" s="568"/>
    </row>
    <row r="21" spans="1:21">
      <c r="A21" s="491">
        <v>2.6</v>
      </c>
      <c r="B21" s="516" t="s">
        <v>647</v>
      </c>
      <c r="C21" s="567">
        <f t="shared" si="1"/>
        <v>0</v>
      </c>
      <c r="D21" s="568"/>
      <c r="E21" s="568"/>
      <c r="F21" s="568"/>
      <c r="G21" s="568"/>
      <c r="H21" s="568"/>
      <c r="I21" s="568"/>
      <c r="J21" s="568"/>
      <c r="K21" s="568"/>
      <c r="L21" s="568"/>
      <c r="M21" s="568"/>
      <c r="N21" s="568"/>
      <c r="O21" s="568"/>
      <c r="P21" s="568"/>
      <c r="Q21" s="568"/>
      <c r="R21" s="568"/>
      <c r="S21" s="568"/>
      <c r="T21" s="568"/>
      <c r="U21" s="568"/>
    </row>
    <row r="22" spans="1:21">
      <c r="A22" s="515">
        <v>3</v>
      </c>
      <c r="B22" s="483" t="s">
        <v>649</v>
      </c>
      <c r="C22" s="567">
        <f>SUM(C23:C28)</f>
        <v>45297232</v>
      </c>
      <c r="D22" s="568"/>
      <c r="E22" s="517"/>
      <c r="F22" s="517"/>
      <c r="G22" s="568"/>
      <c r="H22" s="517"/>
      <c r="I22" s="517"/>
      <c r="J22" s="517"/>
      <c r="K22" s="517"/>
      <c r="L22" s="491"/>
      <c r="M22" s="517"/>
      <c r="N22" s="517"/>
      <c r="O22" s="517"/>
      <c r="P22" s="517"/>
      <c r="Q22" s="517"/>
      <c r="R22" s="517"/>
      <c r="S22" s="517"/>
      <c r="T22" s="517"/>
      <c r="U22" s="491"/>
    </row>
    <row r="23" spans="1:21">
      <c r="A23" s="491">
        <v>3.1</v>
      </c>
      <c r="B23" s="516" t="s">
        <v>642</v>
      </c>
      <c r="C23" s="567">
        <f t="shared" si="1"/>
        <v>0</v>
      </c>
      <c r="D23" s="568"/>
      <c r="E23" s="517"/>
      <c r="F23" s="517"/>
      <c r="G23" s="568"/>
      <c r="H23" s="517"/>
      <c r="I23" s="517"/>
      <c r="J23" s="517"/>
      <c r="K23" s="517"/>
      <c r="L23" s="491"/>
      <c r="M23" s="517"/>
      <c r="N23" s="517"/>
      <c r="O23" s="517"/>
      <c r="P23" s="517"/>
      <c r="Q23" s="517"/>
      <c r="R23" s="517"/>
      <c r="S23" s="517"/>
      <c r="T23" s="517"/>
      <c r="U23" s="491"/>
    </row>
    <row r="24" spans="1:21">
      <c r="A24" s="491">
        <v>3.2</v>
      </c>
      <c r="B24" s="516" t="s">
        <v>643</v>
      </c>
      <c r="C24" s="567">
        <f t="shared" si="1"/>
        <v>0</v>
      </c>
      <c r="D24" s="568"/>
      <c r="E24" s="517"/>
      <c r="F24" s="517"/>
      <c r="G24" s="568"/>
      <c r="H24" s="517"/>
      <c r="I24" s="517"/>
      <c r="J24" s="517"/>
      <c r="K24" s="517"/>
      <c r="L24" s="491"/>
      <c r="M24" s="517"/>
      <c r="N24" s="517"/>
      <c r="O24" s="517"/>
      <c r="P24" s="517"/>
      <c r="Q24" s="517"/>
      <c r="R24" s="517"/>
      <c r="S24" s="517"/>
      <c r="T24" s="517"/>
      <c r="U24" s="491"/>
    </row>
    <row r="25" spans="1:21">
      <c r="A25" s="491">
        <v>3.3</v>
      </c>
      <c r="B25" s="516" t="s">
        <v>644</v>
      </c>
      <c r="C25" s="567">
        <f t="shared" si="1"/>
        <v>0</v>
      </c>
      <c r="D25" s="568"/>
      <c r="E25" s="517"/>
      <c r="F25" s="517"/>
      <c r="G25" s="568"/>
      <c r="H25" s="517"/>
      <c r="I25" s="517"/>
      <c r="J25" s="517"/>
      <c r="K25" s="517"/>
      <c r="L25" s="491"/>
      <c r="M25" s="517"/>
      <c r="N25" s="517"/>
      <c r="O25" s="517"/>
      <c r="P25" s="517"/>
      <c r="Q25" s="517"/>
      <c r="R25" s="517"/>
      <c r="S25" s="517"/>
      <c r="T25" s="517"/>
      <c r="U25" s="491"/>
    </row>
    <row r="26" spans="1:21">
      <c r="A26" s="491">
        <v>3.4</v>
      </c>
      <c r="B26" s="516" t="s">
        <v>645</v>
      </c>
      <c r="C26" s="567">
        <f t="shared" si="1"/>
        <v>0</v>
      </c>
      <c r="D26" s="568"/>
      <c r="E26" s="517"/>
      <c r="F26" s="517"/>
      <c r="G26" s="568"/>
      <c r="H26" s="517"/>
      <c r="I26" s="517"/>
      <c r="J26" s="517"/>
      <c r="K26" s="517"/>
      <c r="L26" s="491"/>
      <c r="M26" s="517"/>
      <c r="N26" s="517"/>
      <c r="O26" s="517"/>
      <c r="P26" s="517"/>
      <c r="Q26" s="517"/>
      <c r="R26" s="517"/>
      <c r="S26" s="517"/>
      <c r="T26" s="517"/>
      <c r="U26" s="491"/>
    </row>
    <row r="27" spans="1:21">
      <c r="A27" s="491">
        <v>3.5</v>
      </c>
      <c r="B27" s="516" t="s">
        <v>646</v>
      </c>
      <c r="C27" s="567">
        <f t="shared" si="1"/>
        <v>11077933</v>
      </c>
      <c r="D27" s="568">
        <v>11077933</v>
      </c>
      <c r="E27" s="517"/>
      <c r="F27" s="517"/>
      <c r="G27" s="568"/>
      <c r="H27" s="517"/>
      <c r="I27" s="517"/>
      <c r="J27" s="517"/>
      <c r="K27" s="517"/>
      <c r="L27" s="491"/>
      <c r="M27" s="517"/>
      <c r="N27" s="517"/>
      <c r="O27" s="517"/>
      <c r="P27" s="517"/>
      <c r="Q27" s="517"/>
      <c r="R27" s="517"/>
      <c r="S27" s="517"/>
      <c r="T27" s="517"/>
      <c r="U27" s="491"/>
    </row>
    <row r="28" spans="1:21">
      <c r="A28" s="491">
        <v>3.6</v>
      </c>
      <c r="B28" s="516" t="s">
        <v>647</v>
      </c>
      <c r="C28" s="567">
        <v>34219299</v>
      </c>
      <c r="D28" s="568"/>
      <c r="E28" s="517"/>
      <c r="F28" s="517"/>
      <c r="G28" s="568"/>
      <c r="H28" s="517"/>
      <c r="I28" s="517"/>
      <c r="J28" s="517"/>
      <c r="K28" s="517"/>
      <c r="L28" s="491"/>
      <c r="M28" s="517"/>
      <c r="N28" s="517"/>
      <c r="O28" s="517"/>
      <c r="P28" s="517"/>
      <c r="Q28" s="517"/>
      <c r="R28" s="517"/>
      <c r="S28" s="517"/>
      <c r="T28" s="517"/>
      <c r="U28" s="491"/>
    </row>
    <row r="30" spans="1:21">
      <c r="C30" s="570"/>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5"/>
  <sheetViews>
    <sheetView showGridLines="0" topLeftCell="A3" zoomScale="80" zoomScaleNormal="80" workbookViewId="0">
      <selection activeCell="F25" sqref="F25"/>
    </sheetView>
  </sheetViews>
  <sheetFormatPr defaultColWidth="9.140625" defaultRowHeight="12.75"/>
  <cols>
    <col min="1" max="1" width="11.85546875" style="477" bestFit="1" customWidth="1"/>
    <col min="2" max="2" width="90.28515625" style="477" bestFit="1" customWidth="1"/>
    <col min="3" max="3" width="20.140625" style="477" customWidth="1"/>
    <col min="4" max="4" width="22.28515625" style="477" customWidth="1"/>
    <col min="5" max="5" width="17.140625" style="477" customWidth="1"/>
    <col min="6" max="7" width="22.28515625" style="477" customWidth="1"/>
    <col min="8" max="8" width="17.140625" style="477" customWidth="1"/>
    <col min="9" max="14" width="22.28515625" style="477" customWidth="1"/>
    <col min="15" max="15" width="23.28515625" style="477" bestFit="1" customWidth="1"/>
    <col min="16" max="16" width="21.7109375" style="477" bestFit="1" customWidth="1"/>
    <col min="17" max="19" width="19" style="477" bestFit="1" customWidth="1"/>
    <col min="20" max="20" width="15.42578125" style="477" customWidth="1"/>
    <col min="21" max="21" width="20" style="477" customWidth="1"/>
    <col min="22" max="16384" width="9.140625" style="477"/>
  </cols>
  <sheetData>
    <row r="1" spans="1:21" ht="13.5">
      <c r="A1" s="476" t="s">
        <v>188</v>
      </c>
      <c r="B1" s="400" t="str">
        <f>Info!C2</f>
        <v>სს "კრედო ბანკი"</v>
      </c>
    </row>
    <row r="2" spans="1:21">
      <c r="A2" s="476" t="s">
        <v>189</v>
      </c>
      <c r="B2" s="479">
        <f>'1. key ratios'!B2</f>
        <v>44926</v>
      </c>
    </row>
    <row r="3" spans="1:21">
      <c r="A3" s="478" t="s">
        <v>650</v>
      </c>
      <c r="C3" s="479"/>
    </row>
    <row r="4" spans="1:21">
      <c r="A4" s="478"/>
      <c r="B4" s="479"/>
      <c r="C4" s="479"/>
    </row>
    <row r="5" spans="1:21" ht="13.5" customHeight="1">
      <c r="A5" s="731" t="s">
        <v>651</v>
      </c>
      <c r="B5" s="732"/>
      <c r="C5" s="737" t="s">
        <v>652</v>
      </c>
      <c r="D5" s="738"/>
      <c r="E5" s="738"/>
      <c r="F5" s="738"/>
      <c r="G5" s="738"/>
      <c r="H5" s="738"/>
      <c r="I5" s="738"/>
      <c r="J5" s="738"/>
      <c r="K5" s="738"/>
      <c r="L5" s="738"/>
      <c r="M5" s="738"/>
      <c r="N5" s="738"/>
      <c r="O5" s="738"/>
      <c r="P5" s="738"/>
      <c r="Q5" s="738"/>
      <c r="R5" s="738"/>
      <c r="S5" s="738"/>
      <c r="T5" s="739"/>
      <c r="U5" s="510"/>
    </row>
    <row r="6" spans="1:21">
      <c r="A6" s="733"/>
      <c r="B6" s="734"/>
      <c r="C6" s="718" t="s">
        <v>68</v>
      </c>
      <c r="D6" s="737" t="s">
        <v>653</v>
      </c>
      <c r="E6" s="738"/>
      <c r="F6" s="739"/>
      <c r="G6" s="737" t="s">
        <v>654</v>
      </c>
      <c r="H6" s="738"/>
      <c r="I6" s="738"/>
      <c r="J6" s="738"/>
      <c r="K6" s="739"/>
      <c r="L6" s="740" t="s">
        <v>655</v>
      </c>
      <c r="M6" s="741"/>
      <c r="N6" s="741"/>
      <c r="O6" s="741"/>
      <c r="P6" s="741"/>
      <c r="Q6" s="741"/>
      <c r="R6" s="741"/>
      <c r="S6" s="741"/>
      <c r="T6" s="742"/>
      <c r="U6" s="511"/>
    </row>
    <row r="7" spans="1:21" ht="25.5">
      <c r="A7" s="735"/>
      <c r="B7" s="736"/>
      <c r="C7" s="718"/>
      <c r="E7" s="526" t="s">
        <v>629</v>
      </c>
      <c r="F7" s="489" t="s">
        <v>630</v>
      </c>
      <c r="H7" s="526" t="s">
        <v>629</v>
      </c>
      <c r="I7" s="489" t="s">
        <v>656</v>
      </c>
      <c r="J7" s="489" t="s">
        <v>631</v>
      </c>
      <c r="K7" s="489" t="s">
        <v>632</v>
      </c>
      <c r="L7" s="518"/>
      <c r="M7" s="526" t="s">
        <v>633</v>
      </c>
      <c r="N7" s="489" t="s">
        <v>631</v>
      </c>
      <c r="O7" s="489" t="s">
        <v>634</v>
      </c>
      <c r="P7" s="489" t="s">
        <v>635</v>
      </c>
      <c r="Q7" s="489" t="s">
        <v>636</v>
      </c>
      <c r="R7" s="489" t="s">
        <v>637</v>
      </c>
      <c r="S7" s="489" t="s">
        <v>638</v>
      </c>
      <c r="T7" s="514" t="s">
        <v>639</v>
      </c>
      <c r="U7" s="510"/>
    </row>
    <row r="8" spans="1:21">
      <c r="A8" s="518">
        <v>1</v>
      </c>
      <c r="B8" s="508" t="s">
        <v>641</v>
      </c>
      <c r="C8" s="576">
        <f>D8+G8+L8</f>
        <v>1792622194.0720978</v>
      </c>
      <c r="D8" s="567">
        <v>1699281091.974498</v>
      </c>
      <c r="E8" s="567">
        <v>4805494.7296999954</v>
      </c>
      <c r="F8" s="639">
        <v>1015589</v>
      </c>
      <c r="G8" s="567">
        <v>50549244.800999902</v>
      </c>
      <c r="H8" s="567">
        <v>2428516.1474999986</v>
      </c>
      <c r="I8" s="567">
        <v>4278935.2400000021</v>
      </c>
      <c r="J8" s="567">
        <v>151583.65</v>
      </c>
      <c r="K8" s="567">
        <v>94721.879600000015</v>
      </c>
      <c r="L8" s="567">
        <v>42791857.296599895</v>
      </c>
      <c r="M8" s="567">
        <v>1686879.4133999995</v>
      </c>
      <c r="N8" s="567">
        <v>4439446.6599999983</v>
      </c>
      <c r="O8" s="567">
        <v>9723963.3299999814</v>
      </c>
      <c r="P8" s="567">
        <v>199358.31999999995</v>
      </c>
      <c r="Q8" s="567">
        <v>0</v>
      </c>
      <c r="R8" s="567">
        <v>0</v>
      </c>
      <c r="S8" s="567">
        <v>0</v>
      </c>
      <c r="T8" s="567">
        <v>0</v>
      </c>
      <c r="U8" s="495"/>
    </row>
    <row r="9" spans="1:21">
      <c r="A9" s="516">
        <v>1.1000000000000001</v>
      </c>
      <c r="B9" s="516" t="s">
        <v>657</v>
      </c>
      <c r="C9" s="576">
        <f>D9+G9+L9</f>
        <v>732309377.08560574</v>
      </c>
      <c r="D9" s="567">
        <v>699914081.09630585</v>
      </c>
      <c r="E9" s="567">
        <v>1410934.477399999</v>
      </c>
      <c r="F9" s="567">
        <v>469907.84000000008</v>
      </c>
      <c r="G9" s="567">
        <v>19072252.068699989</v>
      </c>
      <c r="H9" s="567">
        <v>753835.2274999998</v>
      </c>
      <c r="I9" s="567">
        <v>896778.7799999998</v>
      </c>
      <c r="J9" s="567">
        <v>138161.09</v>
      </c>
      <c r="K9" s="568">
        <v>51933.8796</v>
      </c>
      <c r="L9" s="567">
        <v>13323043.920599988</v>
      </c>
      <c r="M9" s="567">
        <v>573064.48339999991</v>
      </c>
      <c r="N9" s="567">
        <v>655968.30999999971</v>
      </c>
      <c r="O9" s="567">
        <v>1366651.7199999995</v>
      </c>
      <c r="P9" s="567">
        <v>20023.519999999997</v>
      </c>
      <c r="Q9" s="568"/>
      <c r="R9" s="568"/>
      <c r="S9" s="568"/>
      <c r="T9" s="568"/>
    </row>
    <row r="10" spans="1:21">
      <c r="A10" s="519" t="s">
        <v>251</v>
      </c>
      <c r="B10" s="519" t="s">
        <v>658</v>
      </c>
      <c r="C10" s="576">
        <f>SUM(C11:C14)</f>
        <v>448841210.02060014</v>
      </c>
      <c r="D10" s="576">
        <f t="shared" ref="D10:T10" si="0">SUM(D11:D14)</f>
        <v>437311035.86980015</v>
      </c>
      <c r="E10" s="576">
        <f t="shared" si="0"/>
        <v>433902.73859999998</v>
      </c>
      <c r="F10" s="576">
        <f t="shared" si="0"/>
        <v>222483.92</v>
      </c>
      <c r="G10" s="576">
        <f t="shared" si="0"/>
        <v>8180106.8843999999</v>
      </c>
      <c r="H10" s="576">
        <f t="shared" si="0"/>
        <v>535508.76749999996</v>
      </c>
      <c r="I10" s="576">
        <f t="shared" si="0"/>
        <v>206635.85</v>
      </c>
      <c r="J10" s="576">
        <f t="shared" si="0"/>
        <v>127675.90999999999</v>
      </c>
      <c r="K10" s="576">
        <f t="shared" si="0"/>
        <v>0</v>
      </c>
      <c r="L10" s="576">
        <f t="shared" si="0"/>
        <v>3350067.266400001</v>
      </c>
      <c r="M10" s="576">
        <f t="shared" si="0"/>
        <v>135475.54</v>
      </c>
      <c r="N10" s="576">
        <f t="shared" si="0"/>
        <v>26797.43</v>
      </c>
      <c r="O10" s="576">
        <f t="shared" si="0"/>
        <v>108430.59</v>
      </c>
      <c r="P10" s="576">
        <f t="shared" si="0"/>
        <v>0</v>
      </c>
      <c r="Q10" s="576">
        <f t="shared" si="0"/>
        <v>0</v>
      </c>
      <c r="R10" s="576">
        <f t="shared" si="0"/>
        <v>0</v>
      </c>
      <c r="S10" s="576">
        <f t="shared" si="0"/>
        <v>0</v>
      </c>
      <c r="T10" s="576">
        <f t="shared" si="0"/>
        <v>0</v>
      </c>
    </row>
    <row r="11" spans="1:21">
      <c r="A11" s="520" t="s">
        <v>659</v>
      </c>
      <c r="B11" s="520" t="s">
        <v>660</v>
      </c>
      <c r="C11" s="576">
        <f>D11+G11+L11</f>
        <v>273762306.80310005</v>
      </c>
      <c r="D11" s="568">
        <v>267312393.76490006</v>
      </c>
      <c r="E11" s="568">
        <v>278097.04859999998</v>
      </c>
      <c r="F11" s="568">
        <v>1774.7</v>
      </c>
      <c r="G11" s="568">
        <v>4160116.1276000002</v>
      </c>
      <c r="H11" s="568">
        <v>535508.76749999996</v>
      </c>
      <c r="I11" s="568">
        <v>40193.9</v>
      </c>
      <c r="J11" s="568"/>
      <c r="K11" s="568"/>
      <c r="L11" s="568">
        <v>2289796.9106000005</v>
      </c>
      <c r="M11" s="568">
        <v>46928.06</v>
      </c>
      <c r="N11" s="568">
        <v>26797.43</v>
      </c>
      <c r="O11" s="568">
        <v>99007.26999999999</v>
      </c>
      <c r="P11" s="568"/>
      <c r="Q11" s="568"/>
      <c r="R11" s="568"/>
      <c r="S11" s="568"/>
      <c r="T11" s="568"/>
    </row>
    <row r="12" spans="1:21">
      <c r="A12" s="520" t="s">
        <v>661</v>
      </c>
      <c r="B12" s="520" t="s">
        <v>662</v>
      </c>
      <c r="C12" s="576">
        <f t="shared" ref="C12:C15" si="1">D12+G12+L12</f>
        <v>90362655.77320008</v>
      </c>
      <c r="D12" s="568">
        <v>88478961.608000085</v>
      </c>
      <c r="E12" s="568"/>
      <c r="F12" s="568"/>
      <c r="G12" s="568">
        <v>1421525.8994</v>
      </c>
      <c r="H12" s="568"/>
      <c r="I12" s="568">
        <v>73117.259999999995</v>
      </c>
      <c r="J12" s="568">
        <v>127675.90999999999</v>
      </c>
      <c r="K12" s="568"/>
      <c r="L12" s="568">
        <v>462168.26579999999</v>
      </c>
      <c r="M12" s="568"/>
      <c r="N12" s="568"/>
      <c r="O12" s="568"/>
      <c r="P12" s="568"/>
      <c r="Q12" s="568"/>
      <c r="R12" s="568"/>
      <c r="S12" s="568"/>
      <c r="T12" s="568"/>
    </row>
    <row r="13" spans="1:21">
      <c r="A13" s="520" t="s">
        <v>663</v>
      </c>
      <c r="B13" s="520" t="s">
        <v>664</v>
      </c>
      <c r="C13" s="576">
        <f t="shared" si="1"/>
        <v>42968734.723500013</v>
      </c>
      <c r="D13" s="568">
        <v>41314235.816800013</v>
      </c>
      <c r="E13" s="568">
        <v>76607.31</v>
      </c>
      <c r="F13" s="568"/>
      <c r="G13" s="568">
        <v>1460203.5167</v>
      </c>
      <c r="H13" s="568"/>
      <c r="I13" s="568"/>
      <c r="J13" s="568"/>
      <c r="K13" s="568"/>
      <c r="L13" s="568">
        <v>194295.39</v>
      </c>
      <c r="M13" s="568"/>
      <c r="N13" s="568"/>
      <c r="O13" s="568"/>
      <c r="P13" s="568"/>
      <c r="Q13" s="568"/>
      <c r="R13" s="568"/>
      <c r="S13" s="568"/>
      <c r="T13" s="568"/>
    </row>
    <row r="14" spans="1:21">
      <c r="A14" s="520" t="s">
        <v>665</v>
      </c>
      <c r="B14" s="520" t="s">
        <v>666</v>
      </c>
      <c r="C14" s="576">
        <f t="shared" si="1"/>
        <v>41747512.720800005</v>
      </c>
      <c r="D14" s="568">
        <v>40205444.680100001</v>
      </c>
      <c r="E14" s="568">
        <v>79198.38</v>
      </c>
      <c r="F14" s="568">
        <v>220709.22</v>
      </c>
      <c r="G14" s="568">
        <v>1138261.3406999998</v>
      </c>
      <c r="H14" s="568"/>
      <c r="I14" s="568">
        <v>93324.69</v>
      </c>
      <c r="J14" s="568"/>
      <c r="K14" s="568"/>
      <c r="L14" s="568">
        <v>403806.7</v>
      </c>
      <c r="M14" s="568">
        <v>88547.48000000001</v>
      </c>
      <c r="N14" s="568"/>
      <c r="O14" s="568">
        <v>9423.32</v>
      </c>
      <c r="P14" s="568"/>
      <c r="Q14" s="568"/>
      <c r="R14" s="568"/>
      <c r="S14" s="568"/>
      <c r="T14" s="568"/>
    </row>
    <row r="15" spans="1:21">
      <c r="A15" s="521">
        <v>1.2</v>
      </c>
      <c r="B15" s="521" t="s">
        <v>667</v>
      </c>
      <c r="C15" s="576">
        <f t="shared" si="1"/>
        <v>11240117.73241601</v>
      </c>
      <c r="D15" s="568">
        <v>8746220.7173960079</v>
      </c>
      <c r="E15" s="568">
        <v>8678.0547719999995</v>
      </c>
      <c r="F15" s="568">
        <v>4449.6784000000007</v>
      </c>
      <c r="G15" s="568">
        <v>818010.68844000006</v>
      </c>
      <c r="H15" s="568">
        <v>53550.87675000001</v>
      </c>
      <c r="I15" s="568">
        <v>20663.585000000003</v>
      </c>
      <c r="J15" s="568">
        <v>12767.591</v>
      </c>
      <c r="K15" s="568"/>
      <c r="L15" s="568">
        <v>1675886.3265800003</v>
      </c>
      <c r="M15" s="568">
        <v>41092.945999999996</v>
      </c>
      <c r="N15" s="568">
        <v>13398.715</v>
      </c>
      <c r="O15" s="568">
        <v>41849.133000000002</v>
      </c>
      <c r="P15" s="568"/>
      <c r="Q15" s="568"/>
      <c r="R15" s="568"/>
      <c r="S15" s="568"/>
      <c r="T15" s="568"/>
    </row>
    <row r="16" spans="1:21">
      <c r="A16" s="516">
        <v>1.3</v>
      </c>
      <c r="B16" s="521" t="s">
        <v>668</v>
      </c>
      <c r="C16" s="577"/>
      <c r="D16" s="577"/>
      <c r="E16" s="577"/>
      <c r="F16" s="577"/>
      <c r="G16" s="577"/>
      <c r="H16" s="577"/>
      <c r="I16" s="577"/>
      <c r="J16" s="577"/>
      <c r="K16" s="577"/>
      <c r="L16" s="577"/>
      <c r="M16" s="577"/>
      <c r="N16" s="577"/>
      <c r="O16" s="577"/>
      <c r="P16" s="577"/>
      <c r="Q16" s="577"/>
      <c r="R16" s="577"/>
      <c r="S16" s="577"/>
      <c r="T16" s="577"/>
    </row>
    <row r="17" spans="1:20" ht="25.5">
      <c r="A17" s="522" t="s">
        <v>669</v>
      </c>
      <c r="B17" s="632" t="s">
        <v>670</v>
      </c>
      <c r="C17" s="576">
        <f t="shared" ref="C17:C19" si="2">D17+G17+L17</f>
        <v>716276316.5187726</v>
      </c>
      <c r="D17" s="569">
        <v>684620013.87340498</v>
      </c>
      <c r="E17" s="569">
        <v>1368556.1573999992</v>
      </c>
      <c r="F17" s="569">
        <v>469907.84000000008</v>
      </c>
      <c r="G17" s="569">
        <v>18617764.295909122</v>
      </c>
      <c r="H17" s="569">
        <v>749044.22749999969</v>
      </c>
      <c r="I17" s="569">
        <v>839430.45999999985</v>
      </c>
      <c r="J17" s="569">
        <v>138161.09</v>
      </c>
      <c r="K17" s="569">
        <v>50641.559600000001</v>
      </c>
      <c r="L17" s="569">
        <v>13038538.34945843</v>
      </c>
      <c r="M17" s="569">
        <v>515399.84340000001</v>
      </c>
      <c r="N17" s="569">
        <v>645795.02999999968</v>
      </c>
      <c r="O17" s="569">
        <v>1330303.5088584437</v>
      </c>
      <c r="P17" s="569">
        <v>20023.519999999997</v>
      </c>
      <c r="Q17" s="569"/>
      <c r="R17" s="569"/>
      <c r="S17" s="569"/>
      <c r="T17" s="569"/>
    </row>
    <row r="18" spans="1:20" ht="25.5">
      <c r="A18" s="523" t="s">
        <v>671</v>
      </c>
      <c r="B18" s="523" t="s">
        <v>672</v>
      </c>
      <c r="C18" s="576">
        <f t="shared" si="2"/>
        <v>438072367.47475201</v>
      </c>
      <c r="D18" s="569">
        <v>426946903.19972116</v>
      </c>
      <c r="E18" s="569">
        <v>412797.35859999998</v>
      </c>
      <c r="F18" s="569">
        <v>191651.64851995671</v>
      </c>
      <c r="G18" s="569">
        <v>7870387.7086308338</v>
      </c>
      <c r="H18" s="569">
        <v>535508.76749999996</v>
      </c>
      <c r="I18" s="569">
        <v>175186.96000000002</v>
      </c>
      <c r="J18" s="569">
        <v>127675.90999999999</v>
      </c>
      <c r="K18" s="569"/>
      <c r="L18" s="569">
        <v>3255076.5664000004</v>
      </c>
      <c r="M18" s="569">
        <v>112564.06</v>
      </c>
      <c r="N18" s="569">
        <v>26797.43</v>
      </c>
      <c r="O18" s="569">
        <v>107299.32885844412</v>
      </c>
      <c r="P18" s="569"/>
      <c r="Q18" s="569"/>
      <c r="R18" s="569">
        <v>0</v>
      </c>
      <c r="S18" s="569">
        <v>0</v>
      </c>
      <c r="T18" s="569">
        <v>0</v>
      </c>
    </row>
    <row r="19" spans="1:20">
      <c r="A19" s="522" t="s">
        <v>673</v>
      </c>
      <c r="B19" s="522" t="s">
        <v>674</v>
      </c>
      <c r="C19" s="576">
        <f t="shared" si="2"/>
        <v>1257713873.8564661</v>
      </c>
      <c r="D19" s="569">
        <v>1201084197.0459743</v>
      </c>
      <c r="E19" s="569">
        <v>1798697.5417277636</v>
      </c>
      <c r="F19" s="569">
        <v>1780020.4485199566</v>
      </c>
      <c r="G19" s="569">
        <v>31413425.960784413</v>
      </c>
      <c r="H19" s="569">
        <v>787069.97249999968</v>
      </c>
      <c r="I19" s="569">
        <v>1035046.7100000001</v>
      </c>
      <c r="J19" s="569">
        <v>248137.11000000042</v>
      </c>
      <c r="K19" s="569">
        <v>58923.262159999998</v>
      </c>
      <c r="L19" s="569">
        <v>25216250.849707425</v>
      </c>
      <c r="M19" s="569">
        <v>802246.93858000007</v>
      </c>
      <c r="N19" s="569">
        <v>939100.1799999997</v>
      </c>
      <c r="O19" s="569">
        <v>2109461.2108584433</v>
      </c>
      <c r="P19" s="569">
        <v>14010.36</v>
      </c>
      <c r="Q19" s="569"/>
      <c r="R19" s="569"/>
      <c r="S19" s="569"/>
      <c r="T19" s="569"/>
    </row>
    <row r="20" spans="1:20">
      <c r="A20" s="523" t="s">
        <v>675</v>
      </c>
      <c r="B20" s="523" t="s">
        <v>676</v>
      </c>
      <c r="C20" s="576">
        <f t="shared" ref="C20:C21" si="3">D20+G20+L20</f>
        <v>504000165.36530524</v>
      </c>
      <c r="D20" s="569">
        <v>493225379.45811337</v>
      </c>
      <c r="E20" s="569">
        <v>341954.44060776453</v>
      </c>
      <c r="F20" s="569">
        <v>26837.028519956693</v>
      </c>
      <c r="G20" s="569">
        <v>7726545.9248643843</v>
      </c>
      <c r="H20" s="569">
        <v>460448.4325</v>
      </c>
      <c r="I20" s="569">
        <v>202717.15</v>
      </c>
      <c r="J20" s="569">
        <v>47954.090000000397</v>
      </c>
      <c r="K20" s="569"/>
      <c r="L20" s="569">
        <v>3048239.9823274454</v>
      </c>
      <c r="M20" s="569">
        <v>173340.46</v>
      </c>
      <c r="N20" s="569">
        <v>56964.57</v>
      </c>
      <c r="O20" s="569">
        <v>230305.26085844418</v>
      </c>
      <c r="P20" s="569"/>
      <c r="Q20" s="569"/>
      <c r="R20" s="569"/>
      <c r="S20" s="569"/>
      <c r="T20" s="569"/>
    </row>
    <row r="21" spans="1:20">
      <c r="A21" s="524">
        <v>1.4</v>
      </c>
      <c r="B21" s="531" t="s">
        <v>709</v>
      </c>
      <c r="C21" s="576">
        <f t="shared" si="3"/>
        <v>102819</v>
      </c>
      <c r="D21" s="569">
        <v>102819</v>
      </c>
      <c r="E21" s="569"/>
      <c r="F21" s="569"/>
      <c r="G21" s="569"/>
      <c r="H21" s="569"/>
      <c r="I21" s="569"/>
      <c r="J21" s="569"/>
      <c r="K21" s="569"/>
      <c r="L21" s="569"/>
      <c r="M21" s="569"/>
      <c r="N21" s="569"/>
      <c r="O21" s="569"/>
      <c r="P21" s="569"/>
      <c r="Q21" s="569"/>
      <c r="R21" s="569"/>
      <c r="S21" s="569"/>
      <c r="T21" s="569"/>
    </row>
    <row r="22" spans="1:20">
      <c r="A22" s="524">
        <v>1.5</v>
      </c>
      <c r="B22" s="531" t="s">
        <v>710</v>
      </c>
      <c r="C22" s="578"/>
      <c r="D22" s="569"/>
      <c r="E22" s="569"/>
      <c r="F22" s="569"/>
      <c r="G22" s="569"/>
      <c r="H22" s="569"/>
      <c r="I22" s="569"/>
      <c r="J22" s="569"/>
      <c r="K22" s="569"/>
      <c r="L22" s="569"/>
      <c r="M22" s="569"/>
      <c r="N22" s="569"/>
      <c r="O22" s="569"/>
      <c r="P22" s="569"/>
      <c r="Q22" s="569"/>
      <c r="R22" s="569"/>
      <c r="S22" s="569"/>
      <c r="T22" s="569"/>
    </row>
    <row r="23" spans="1:20">
      <c r="C23" s="570"/>
    </row>
    <row r="24" spans="1:20">
      <c r="C24" s="579"/>
      <c r="D24" s="579"/>
      <c r="E24" s="579"/>
      <c r="F24" s="579"/>
      <c r="G24" s="579"/>
      <c r="H24" s="579"/>
      <c r="I24" s="579"/>
      <c r="J24" s="579"/>
      <c r="K24" s="579"/>
      <c r="L24" s="579"/>
      <c r="M24" s="579"/>
      <c r="N24" s="579"/>
      <c r="O24" s="579"/>
      <c r="P24" s="579"/>
      <c r="Q24" s="579"/>
      <c r="R24" s="579"/>
      <c r="S24" s="579"/>
      <c r="T24" s="579"/>
    </row>
    <row r="25" spans="1:20">
      <c r="C25" s="570"/>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B5" zoomScale="75" zoomScaleNormal="75" workbookViewId="0">
      <selection activeCell="K31" sqref="K31"/>
    </sheetView>
  </sheetViews>
  <sheetFormatPr defaultColWidth="9.140625" defaultRowHeight="12.75"/>
  <cols>
    <col min="1" max="1" width="11.85546875" style="477" bestFit="1" customWidth="1"/>
    <col min="2" max="2" width="67.42578125" style="477" customWidth="1"/>
    <col min="3" max="3" width="15.7109375" style="477" customWidth="1"/>
    <col min="4" max="4" width="16.140625" style="477" bestFit="1" customWidth="1"/>
    <col min="5" max="5" width="13.7109375" style="477" bestFit="1" customWidth="1"/>
    <col min="6" max="6" width="17.85546875" style="510" bestFit="1" customWidth="1"/>
    <col min="7" max="7" width="12.5703125" style="510" customWidth="1"/>
    <col min="8" max="8" width="13.140625" style="477" bestFit="1" customWidth="1"/>
    <col min="9" max="9" width="14.140625" style="477" customWidth="1"/>
    <col min="10" max="10" width="14.7109375" style="510" bestFit="1" customWidth="1"/>
    <col min="11" max="11" width="13.7109375" style="510" bestFit="1" customWidth="1"/>
    <col min="12" max="12" width="17.85546875" style="510" bestFit="1" customWidth="1"/>
    <col min="13" max="13" width="13.42578125" style="510" customWidth="1"/>
    <col min="14" max="14" width="13.85546875" style="510" customWidth="1"/>
    <col min="15" max="15" width="18.85546875" style="477" bestFit="1" customWidth="1"/>
    <col min="16" max="16384" width="9.140625" style="477"/>
  </cols>
  <sheetData>
    <row r="1" spans="1:15" ht="13.5">
      <c r="A1" s="476" t="s">
        <v>188</v>
      </c>
      <c r="B1" s="400" t="str">
        <f>Info!C2</f>
        <v>სს "კრედო ბანკი"</v>
      </c>
      <c r="F1" s="477"/>
      <c r="G1" s="477"/>
      <c r="J1" s="477"/>
      <c r="K1" s="477"/>
      <c r="L1" s="477"/>
      <c r="M1" s="477"/>
      <c r="N1" s="477"/>
    </row>
    <row r="2" spans="1:15">
      <c r="A2" s="476" t="s">
        <v>189</v>
      </c>
      <c r="B2" s="479">
        <f>'1. key ratios'!B2</f>
        <v>44926</v>
      </c>
      <c r="F2" s="477"/>
      <c r="G2" s="477"/>
      <c r="J2" s="477"/>
      <c r="K2" s="477"/>
      <c r="L2" s="477"/>
      <c r="M2" s="477"/>
      <c r="N2" s="477"/>
    </row>
    <row r="3" spans="1:15">
      <c r="A3" s="478" t="s">
        <v>679</v>
      </c>
      <c r="F3" s="477"/>
      <c r="G3" s="477"/>
      <c r="J3" s="477"/>
      <c r="K3" s="477"/>
      <c r="L3" s="477"/>
      <c r="M3" s="477"/>
      <c r="N3" s="477"/>
    </row>
    <row r="4" spans="1:15">
      <c r="F4" s="477"/>
      <c r="G4" s="477"/>
      <c r="J4" s="477"/>
      <c r="K4" s="477"/>
      <c r="L4" s="477"/>
      <c r="M4" s="477"/>
      <c r="N4" s="477"/>
    </row>
    <row r="5" spans="1:15" ht="37.5" customHeight="1">
      <c r="A5" s="698" t="s">
        <v>680</v>
      </c>
      <c r="B5" s="699"/>
      <c r="C5" s="743" t="s">
        <v>681</v>
      </c>
      <c r="D5" s="744"/>
      <c r="E5" s="744"/>
      <c r="F5" s="744"/>
      <c r="G5" s="744"/>
      <c r="H5" s="745"/>
      <c r="I5" s="743" t="s">
        <v>682</v>
      </c>
      <c r="J5" s="746"/>
      <c r="K5" s="746"/>
      <c r="L5" s="746"/>
      <c r="M5" s="746"/>
      <c r="N5" s="747"/>
      <c r="O5" s="748" t="s">
        <v>552</v>
      </c>
    </row>
    <row r="6" spans="1:15" ht="39.6" customHeight="1">
      <c r="A6" s="702"/>
      <c r="B6" s="703"/>
      <c r="C6" s="525"/>
      <c r="D6" s="526" t="s">
        <v>683</v>
      </c>
      <c r="E6" s="526" t="s">
        <v>684</v>
      </c>
      <c r="F6" s="526" t="s">
        <v>685</v>
      </c>
      <c r="G6" s="526" t="s">
        <v>686</v>
      </c>
      <c r="H6" s="526" t="s">
        <v>687</v>
      </c>
      <c r="I6" s="513"/>
      <c r="J6" s="526" t="s">
        <v>683</v>
      </c>
      <c r="K6" s="526" t="s">
        <v>684</v>
      </c>
      <c r="L6" s="526" t="s">
        <v>685</v>
      </c>
      <c r="M6" s="526" t="s">
        <v>686</v>
      </c>
      <c r="N6" s="526" t="s">
        <v>687</v>
      </c>
      <c r="O6" s="749"/>
    </row>
    <row r="7" spans="1:15">
      <c r="A7" s="491">
        <v>1</v>
      </c>
      <c r="B7" s="498" t="s">
        <v>562</v>
      </c>
      <c r="C7" s="574">
        <f>SUM(D7:H7)</f>
        <v>20149197.261099972</v>
      </c>
      <c r="D7" s="568">
        <v>19244245.581099972</v>
      </c>
      <c r="E7" s="568">
        <v>465631.51000000013</v>
      </c>
      <c r="F7" s="568">
        <v>271878.57999999996</v>
      </c>
      <c r="G7" s="568">
        <v>118871.95999999999</v>
      </c>
      <c r="H7" s="568">
        <v>48569.630000000005</v>
      </c>
      <c r="I7" s="575">
        <f>SUM(J7:N7)</f>
        <v>621017.24670000165</v>
      </c>
      <c r="J7" s="568">
        <v>384884.91170000163</v>
      </c>
      <c r="K7" s="568">
        <v>46563.151000000005</v>
      </c>
      <c r="L7" s="568">
        <v>81563.573999999993</v>
      </c>
      <c r="M7" s="568">
        <v>59435.979999999996</v>
      </c>
      <c r="N7" s="568">
        <v>48569.630000000005</v>
      </c>
      <c r="O7" s="491"/>
    </row>
    <row r="8" spans="1:15">
      <c r="A8" s="491">
        <v>2</v>
      </c>
      <c r="B8" s="498" t="s">
        <v>563</v>
      </c>
      <c r="C8" s="574">
        <f t="shared" ref="C8:C32" si="0">SUM(D8:H8)</f>
        <v>10802408.528200014</v>
      </c>
      <c r="D8" s="568">
        <v>10542754.518200014</v>
      </c>
      <c r="E8" s="568">
        <v>185416.16</v>
      </c>
      <c r="F8" s="572">
        <v>29554.32</v>
      </c>
      <c r="G8" s="572">
        <v>15370.58</v>
      </c>
      <c r="H8" s="568">
        <v>29312.95</v>
      </c>
      <c r="I8" s="575">
        <f t="shared" ref="I8:I32" si="1">SUM(J8:N8)</f>
        <v>275261.24240000074</v>
      </c>
      <c r="J8" s="572">
        <v>210855.09040000074</v>
      </c>
      <c r="K8" s="572">
        <v>18541.616000000002</v>
      </c>
      <c r="L8" s="572">
        <v>8866.2960000000003</v>
      </c>
      <c r="M8" s="572">
        <v>7685.29</v>
      </c>
      <c r="N8" s="572">
        <v>29312.95</v>
      </c>
      <c r="O8" s="491"/>
    </row>
    <row r="9" spans="1:15">
      <c r="A9" s="491">
        <v>3</v>
      </c>
      <c r="B9" s="498" t="s">
        <v>564</v>
      </c>
      <c r="C9" s="574">
        <f t="shared" si="0"/>
        <v>6478564.3899999913</v>
      </c>
      <c r="D9" s="568">
        <v>6186126.7299999921</v>
      </c>
      <c r="E9" s="568">
        <v>158817.68000000005</v>
      </c>
      <c r="F9" s="573">
        <v>73965.31</v>
      </c>
      <c r="G9" s="573">
        <v>52145.67</v>
      </c>
      <c r="H9" s="568">
        <v>7509</v>
      </c>
      <c r="I9" s="575">
        <f t="shared" si="1"/>
        <v>195375.73060000007</v>
      </c>
      <c r="J9" s="573">
        <v>123722.53460000009</v>
      </c>
      <c r="K9" s="573">
        <v>15881.767999999993</v>
      </c>
      <c r="L9" s="573">
        <v>22189.59299999999</v>
      </c>
      <c r="M9" s="573">
        <v>26072.834999999999</v>
      </c>
      <c r="N9" s="573">
        <v>7509</v>
      </c>
      <c r="O9" s="491"/>
    </row>
    <row r="10" spans="1:15">
      <c r="A10" s="491">
        <v>4</v>
      </c>
      <c r="B10" s="498" t="s">
        <v>565</v>
      </c>
      <c r="C10" s="574">
        <f t="shared" si="0"/>
        <v>8570955.5571999997</v>
      </c>
      <c r="D10" s="568">
        <v>8558550.7371999994</v>
      </c>
      <c r="E10" s="568">
        <v>12078.810000000001</v>
      </c>
      <c r="F10" s="573">
        <v>326.01</v>
      </c>
      <c r="G10" s="573"/>
      <c r="H10" s="568"/>
      <c r="I10" s="575">
        <f t="shared" si="1"/>
        <v>172476.69859999997</v>
      </c>
      <c r="J10" s="573">
        <v>171171.01459999997</v>
      </c>
      <c r="K10" s="573">
        <v>1207.8810000000001</v>
      </c>
      <c r="L10" s="573">
        <v>97.802999999999997</v>
      </c>
      <c r="M10" s="573"/>
      <c r="N10" s="573"/>
      <c r="O10" s="491"/>
    </row>
    <row r="11" spans="1:15">
      <c r="A11" s="491">
        <v>5</v>
      </c>
      <c r="B11" s="498" t="s">
        <v>566</v>
      </c>
      <c r="C11" s="574">
        <f t="shared" si="0"/>
        <v>24106262.749899995</v>
      </c>
      <c r="D11" s="568">
        <v>23189999.630499993</v>
      </c>
      <c r="E11" s="568">
        <v>886955.42940000002</v>
      </c>
      <c r="F11" s="573">
        <v>15900.16</v>
      </c>
      <c r="G11" s="573">
        <v>4653.2700000000004</v>
      </c>
      <c r="H11" s="568">
        <v>8754.26</v>
      </c>
      <c r="I11" s="575">
        <f t="shared" si="1"/>
        <v>568346.47860000003</v>
      </c>
      <c r="J11" s="573">
        <v>463799.99270000006</v>
      </c>
      <c r="K11" s="573">
        <v>88695.542900000015</v>
      </c>
      <c r="L11" s="573">
        <v>4770.0479999999998</v>
      </c>
      <c r="M11" s="573">
        <v>2326.6350000000002</v>
      </c>
      <c r="N11" s="573">
        <v>8754.26</v>
      </c>
      <c r="O11" s="491"/>
    </row>
    <row r="12" spans="1:15">
      <c r="A12" s="491">
        <v>6</v>
      </c>
      <c r="B12" s="498" t="s">
        <v>567</v>
      </c>
      <c r="C12" s="574">
        <f t="shared" si="0"/>
        <v>9214127.7291000057</v>
      </c>
      <c r="D12" s="568">
        <v>8703900.2091000043</v>
      </c>
      <c r="E12" s="568">
        <v>331687.13</v>
      </c>
      <c r="F12" s="573">
        <v>75830.760000000009</v>
      </c>
      <c r="G12" s="573">
        <v>77400.139999999985</v>
      </c>
      <c r="H12" s="568">
        <v>25309.489999999998</v>
      </c>
      <c r="I12" s="575">
        <f t="shared" si="1"/>
        <v>294005.50530000025</v>
      </c>
      <c r="J12" s="573">
        <v>174078.00430000026</v>
      </c>
      <c r="K12" s="573">
        <v>33168.712999999996</v>
      </c>
      <c r="L12" s="573">
        <v>22749.227999999999</v>
      </c>
      <c r="M12" s="573">
        <v>38700.069999999992</v>
      </c>
      <c r="N12" s="573">
        <v>25309.489999999998</v>
      </c>
      <c r="O12" s="491"/>
    </row>
    <row r="13" spans="1:15">
      <c r="A13" s="491">
        <v>7</v>
      </c>
      <c r="B13" s="498" t="s">
        <v>568</v>
      </c>
      <c r="C13" s="574">
        <f t="shared" si="0"/>
        <v>3674306.3751000003</v>
      </c>
      <c r="D13" s="568">
        <v>3404216.2651000004</v>
      </c>
      <c r="E13" s="568">
        <v>135941.48000000004</v>
      </c>
      <c r="F13" s="573">
        <v>51580.539999999994</v>
      </c>
      <c r="G13" s="573">
        <v>82379.61</v>
      </c>
      <c r="H13" s="568">
        <v>188.48</v>
      </c>
      <c r="I13" s="575">
        <f t="shared" si="1"/>
        <v>138530.92029999997</v>
      </c>
      <c r="J13" s="573">
        <v>68084.325299999968</v>
      </c>
      <c r="K13" s="573">
        <v>13594.147999999999</v>
      </c>
      <c r="L13" s="573">
        <v>15474.162</v>
      </c>
      <c r="M13" s="573">
        <v>41189.805</v>
      </c>
      <c r="N13" s="573">
        <v>188.48</v>
      </c>
      <c r="O13" s="491"/>
    </row>
    <row r="14" spans="1:15">
      <c r="A14" s="491">
        <v>8</v>
      </c>
      <c r="B14" s="498" t="s">
        <v>569</v>
      </c>
      <c r="C14" s="574">
        <f t="shared" si="0"/>
        <v>129767321.32280076</v>
      </c>
      <c r="D14" s="568">
        <v>122613573.55620074</v>
      </c>
      <c r="E14" s="568">
        <v>3128011.44</v>
      </c>
      <c r="F14" s="573">
        <v>2330417.696599999</v>
      </c>
      <c r="G14" s="573">
        <v>1140195.0100000009</v>
      </c>
      <c r="H14" s="568">
        <v>555123.62000000011</v>
      </c>
      <c r="I14" s="575">
        <f t="shared" si="1"/>
        <v>4589419.0489999428</v>
      </c>
      <c r="J14" s="573">
        <v>2452271.471099942</v>
      </c>
      <c r="K14" s="573">
        <v>312801.14400000015</v>
      </c>
      <c r="L14" s="573">
        <v>699125.30889999971</v>
      </c>
      <c r="M14" s="573">
        <v>570097.50500000047</v>
      </c>
      <c r="N14" s="573">
        <v>555123.62000000011</v>
      </c>
      <c r="O14" s="491"/>
    </row>
    <row r="15" spans="1:15">
      <c r="A15" s="491">
        <v>9</v>
      </c>
      <c r="B15" s="498" t="s">
        <v>570</v>
      </c>
      <c r="C15" s="574">
        <f t="shared" si="0"/>
        <v>26584722.741499994</v>
      </c>
      <c r="D15" s="568">
        <v>25238792.201499995</v>
      </c>
      <c r="E15" s="568">
        <v>784889.96999999986</v>
      </c>
      <c r="F15" s="573">
        <v>291198.52</v>
      </c>
      <c r="G15" s="573">
        <v>91962.25</v>
      </c>
      <c r="H15" s="568">
        <v>177879.80000000002</v>
      </c>
      <c r="I15" s="575">
        <f t="shared" si="1"/>
        <v>894485.32190000045</v>
      </c>
      <c r="J15" s="573">
        <v>504775.84390000044</v>
      </c>
      <c r="K15" s="573">
        <v>78488.997000000003</v>
      </c>
      <c r="L15" s="573">
        <v>87359.555999999982</v>
      </c>
      <c r="M15" s="573">
        <v>45981.125</v>
      </c>
      <c r="N15" s="573">
        <v>177879.80000000002</v>
      </c>
      <c r="O15" s="491"/>
    </row>
    <row r="16" spans="1:15">
      <c r="A16" s="491">
        <v>10</v>
      </c>
      <c r="B16" s="498" t="s">
        <v>571</v>
      </c>
      <c r="C16" s="574">
        <f t="shared" si="0"/>
        <v>11371401.605000012</v>
      </c>
      <c r="D16" s="568">
        <v>10539162.915000012</v>
      </c>
      <c r="E16" s="568">
        <v>436305.49999999994</v>
      </c>
      <c r="F16" s="573">
        <v>272111.16000000009</v>
      </c>
      <c r="G16" s="573">
        <v>82960</v>
      </c>
      <c r="H16" s="568">
        <v>40862.03</v>
      </c>
      <c r="I16" s="575">
        <f t="shared" si="1"/>
        <v>418389.18630000029</v>
      </c>
      <c r="J16" s="573">
        <v>210783.25830000028</v>
      </c>
      <c r="K16" s="573">
        <v>43630.549999999996</v>
      </c>
      <c r="L16" s="573">
        <v>81633.347999999998</v>
      </c>
      <c r="M16" s="573">
        <v>41480</v>
      </c>
      <c r="N16" s="573">
        <v>40862.03</v>
      </c>
      <c r="O16" s="491"/>
    </row>
    <row r="17" spans="1:15">
      <c r="A17" s="491">
        <v>11</v>
      </c>
      <c r="B17" s="498" t="s">
        <v>572</v>
      </c>
      <c r="C17" s="574">
        <f t="shared" si="0"/>
        <v>10354162.826200012</v>
      </c>
      <c r="D17" s="568">
        <v>9877785.3962000124</v>
      </c>
      <c r="E17" s="568">
        <v>326934.14999999997</v>
      </c>
      <c r="F17" s="573">
        <v>91214.60000000002</v>
      </c>
      <c r="G17" s="573">
        <v>53491.909999999996</v>
      </c>
      <c r="H17" s="568">
        <v>4736.7700000000004</v>
      </c>
      <c r="I17" s="575">
        <f t="shared" si="1"/>
        <v>289096.22800000047</v>
      </c>
      <c r="J17" s="573">
        <v>197555.70800000045</v>
      </c>
      <c r="K17" s="573">
        <v>32693.414999999997</v>
      </c>
      <c r="L17" s="573">
        <v>27364.379999999997</v>
      </c>
      <c r="M17" s="573">
        <v>26745.954999999998</v>
      </c>
      <c r="N17" s="573">
        <v>4736.7700000000004</v>
      </c>
      <c r="O17" s="491"/>
    </row>
    <row r="18" spans="1:15">
      <c r="A18" s="491">
        <v>12</v>
      </c>
      <c r="B18" s="498" t="s">
        <v>573</v>
      </c>
      <c r="C18" s="574">
        <f t="shared" si="0"/>
        <v>105050319.8863003</v>
      </c>
      <c r="D18" s="568">
        <v>100203460.8576003</v>
      </c>
      <c r="E18" s="568">
        <v>3248882.6926999982</v>
      </c>
      <c r="F18" s="573">
        <v>910698.56600000011</v>
      </c>
      <c r="G18" s="573">
        <v>437644.4699999998</v>
      </c>
      <c r="H18" s="568">
        <v>249633.29999999996</v>
      </c>
      <c r="I18" s="575">
        <f t="shared" si="1"/>
        <v>3070622.5914999596</v>
      </c>
      <c r="J18" s="573">
        <v>2004069.2173999606</v>
      </c>
      <c r="K18" s="573">
        <v>324888.26929999981</v>
      </c>
      <c r="L18" s="573">
        <v>273209.56979999982</v>
      </c>
      <c r="M18" s="573">
        <v>218822.2349999999</v>
      </c>
      <c r="N18" s="573">
        <v>249633.29999999996</v>
      </c>
      <c r="O18" s="491"/>
    </row>
    <row r="19" spans="1:15">
      <c r="A19" s="491">
        <v>13</v>
      </c>
      <c r="B19" s="498" t="s">
        <v>574</v>
      </c>
      <c r="C19" s="574">
        <f t="shared" si="0"/>
        <v>17628464.63860001</v>
      </c>
      <c r="D19" s="568">
        <v>16947621.074900009</v>
      </c>
      <c r="E19" s="568">
        <v>259777.66999999998</v>
      </c>
      <c r="F19" s="573">
        <v>200368.72000000003</v>
      </c>
      <c r="G19" s="573">
        <v>112436.37369999998</v>
      </c>
      <c r="H19" s="568">
        <v>108260.79999999997</v>
      </c>
      <c r="I19" s="575">
        <f t="shared" si="1"/>
        <v>589519.79139999999</v>
      </c>
      <c r="J19" s="573">
        <v>338952.42150000011</v>
      </c>
      <c r="K19" s="573">
        <v>25977.767000000007</v>
      </c>
      <c r="L19" s="573">
        <v>60110.615999999995</v>
      </c>
      <c r="M19" s="573">
        <v>56218.186899999993</v>
      </c>
      <c r="N19" s="573">
        <v>108260.79999999997</v>
      </c>
      <c r="O19" s="491"/>
    </row>
    <row r="20" spans="1:15">
      <c r="A20" s="491">
        <v>14</v>
      </c>
      <c r="B20" s="498" t="s">
        <v>575</v>
      </c>
      <c r="C20" s="574">
        <f t="shared" si="0"/>
        <v>50881176.541699983</v>
      </c>
      <c r="D20" s="568">
        <v>48624214.222599983</v>
      </c>
      <c r="E20" s="568">
        <v>1892684.9291000003</v>
      </c>
      <c r="F20" s="573">
        <v>261353.66999999998</v>
      </c>
      <c r="G20" s="573">
        <v>25715.390000000003</v>
      </c>
      <c r="H20" s="568">
        <v>77208.33</v>
      </c>
      <c r="I20" s="575">
        <f t="shared" si="1"/>
        <v>1330224.9035000009</v>
      </c>
      <c r="J20" s="573">
        <v>972484.28450000077</v>
      </c>
      <c r="K20" s="573">
        <v>189268.49299999999</v>
      </c>
      <c r="L20" s="573">
        <v>78406.100999999995</v>
      </c>
      <c r="M20" s="573">
        <v>12857.695000000002</v>
      </c>
      <c r="N20" s="573">
        <v>77208.33</v>
      </c>
      <c r="O20" s="491"/>
    </row>
    <row r="21" spans="1:15">
      <c r="A21" s="491">
        <v>15</v>
      </c>
      <c r="B21" s="498" t="s">
        <v>576</v>
      </c>
      <c r="C21" s="574">
        <f t="shared" si="0"/>
        <v>29633659.043399937</v>
      </c>
      <c r="D21" s="568">
        <v>27055607.787799936</v>
      </c>
      <c r="E21" s="568">
        <v>747066.62</v>
      </c>
      <c r="F21" s="573">
        <v>605473.80940000026</v>
      </c>
      <c r="G21" s="573">
        <v>1122445.5461999993</v>
      </c>
      <c r="H21" s="568">
        <v>103065.28000000001</v>
      </c>
      <c r="I21" s="575">
        <f t="shared" si="1"/>
        <v>1461749.0135999983</v>
      </c>
      <c r="J21" s="573">
        <v>541112.15569999861</v>
      </c>
      <c r="K21" s="573">
        <v>74706.66200000004</v>
      </c>
      <c r="L21" s="573">
        <v>181642.1428</v>
      </c>
      <c r="M21" s="573">
        <v>561222.77309999964</v>
      </c>
      <c r="N21" s="573">
        <v>103065.28000000001</v>
      </c>
      <c r="O21" s="491"/>
    </row>
    <row r="22" spans="1:15">
      <c r="A22" s="491">
        <v>16</v>
      </c>
      <c r="B22" s="498" t="s">
        <v>577</v>
      </c>
      <c r="C22" s="574">
        <f t="shared" si="0"/>
        <v>7478492.4322000053</v>
      </c>
      <c r="D22" s="568">
        <v>7102937.8722000057</v>
      </c>
      <c r="E22" s="568">
        <v>202972.96999999994</v>
      </c>
      <c r="F22" s="573">
        <v>131515.28</v>
      </c>
      <c r="G22" s="573">
        <v>23748.670000000002</v>
      </c>
      <c r="H22" s="568">
        <v>17317.64</v>
      </c>
      <c r="I22" s="575">
        <f t="shared" si="1"/>
        <v>231002.61349999998</v>
      </c>
      <c r="J22" s="573">
        <v>142058.75750000001</v>
      </c>
      <c r="K22" s="573">
        <v>20297.296999999995</v>
      </c>
      <c r="L22" s="573">
        <v>39454.58400000001</v>
      </c>
      <c r="M22" s="573">
        <v>11874.335000000001</v>
      </c>
      <c r="N22" s="573">
        <v>17317.64</v>
      </c>
      <c r="O22" s="491"/>
    </row>
    <row r="23" spans="1:15">
      <c r="A23" s="491">
        <v>17</v>
      </c>
      <c r="B23" s="498" t="s">
        <v>578</v>
      </c>
      <c r="C23" s="574">
        <f t="shared" si="0"/>
        <v>770847.91869999934</v>
      </c>
      <c r="D23" s="568">
        <v>729702.90869999933</v>
      </c>
      <c r="E23" s="568">
        <v>2908.4900000000002</v>
      </c>
      <c r="F23" s="573">
        <v>15821.48</v>
      </c>
      <c r="G23" s="573">
        <v>22415.039999999997</v>
      </c>
      <c r="H23" s="568"/>
      <c r="I23" s="575">
        <f t="shared" si="1"/>
        <v>30838.871199999994</v>
      </c>
      <c r="J23" s="573">
        <v>14594.058199999996</v>
      </c>
      <c r="K23" s="573">
        <v>290.84899999999999</v>
      </c>
      <c r="L23" s="573">
        <v>4746.4440000000004</v>
      </c>
      <c r="M23" s="573">
        <v>11207.519999999999</v>
      </c>
      <c r="N23" s="573"/>
      <c r="O23" s="491"/>
    </row>
    <row r="24" spans="1:15">
      <c r="A24" s="491">
        <v>18</v>
      </c>
      <c r="B24" s="498" t="s">
        <v>579</v>
      </c>
      <c r="C24" s="574">
        <f t="shared" si="0"/>
        <v>3143979.0300000017</v>
      </c>
      <c r="D24" s="568">
        <v>3045949.5900000022</v>
      </c>
      <c r="E24" s="568">
        <v>62863.799999999996</v>
      </c>
      <c r="F24" s="573">
        <v>21276.83</v>
      </c>
      <c r="G24" s="573">
        <v>6904.05</v>
      </c>
      <c r="H24" s="568">
        <v>6984.76</v>
      </c>
      <c r="I24" s="575">
        <f t="shared" si="1"/>
        <v>84025.205799999996</v>
      </c>
      <c r="J24" s="573">
        <v>60918.991800000003</v>
      </c>
      <c r="K24" s="573">
        <v>6286.38</v>
      </c>
      <c r="L24" s="573">
        <v>6383.049</v>
      </c>
      <c r="M24" s="573">
        <v>3452.0250000000001</v>
      </c>
      <c r="N24" s="573">
        <v>6984.76</v>
      </c>
      <c r="O24" s="491"/>
    </row>
    <row r="25" spans="1:15">
      <c r="A25" s="491">
        <v>19</v>
      </c>
      <c r="B25" s="498" t="s">
        <v>580</v>
      </c>
      <c r="C25" s="574">
        <f t="shared" si="0"/>
        <v>4410611.6319000032</v>
      </c>
      <c r="D25" s="568">
        <v>4173599.9413000033</v>
      </c>
      <c r="E25" s="568">
        <v>128247.90999999999</v>
      </c>
      <c r="F25" s="573">
        <v>44162.939999999995</v>
      </c>
      <c r="G25" s="573">
        <v>27908.350000000002</v>
      </c>
      <c r="H25" s="568">
        <v>36692.490600000005</v>
      </c>
      <c r="I25" s="575">
        <f t="shared" si="1"/>
        <v>160192.33730000001</v>
      </c>
      <c r="J25" s="573">
        <v>83471.998700000026</v>
      </c>
      <c r="K25" s="573">
        <v>12824.791000000001</v>
      </c>
      <c r="L25" s="573">
        <v>13248.881999999998</v>
      </c>
      <c r="M25" s="573">
        <v>13954.175000000001</v>
      </c>
      <c r="N25" s="573">
        <v>36692.490600000005</v>
      </c>
      <c r="O25" s="491"/>
    </row>
    <row r="26" spans="1:15">
      <c r="A26" s="491">
        <v>20</v>
      </c>
      <c r="B26" s="498" t="s">
        <v>581</v>
      </c>
      <c r="C26" s="574">
        <f t="shared" si="0"/>
        <v>13447101.253199995</v>
      </c>
      <c r="D26" s="568">
        <v>13207097.903199993</v>
      </c>
      <c r="E26" s="568">
        <v>106542.22000000003</v>
      </c>
      <c r="F26" s="573">
        <v>54183.899999999994</v>
      </c>
      <c r="G26" s="573">
        <v>54817.350000000013</v>
      </c>
      <c r="H26" s="568">
        <v>24459.88</v>
      </c>
      <c r="I26" s="575">
        <f t="shared" si="1"/>
        <v>342919.90520000027</v>
      </c>
      <c r="J26" s="573">
        <v>264141.95820000028</v>
      </c>
      <c r="K26" s="573">
        <v>10654.221999999994</v>
      </c>
      <c r="L26" s="573">
        <v>16255.170000000004</v>
      </c>
      <c r="M26" s="573">
        <v>27408.675000000007</v>
      </c>
      <c r="N26" s="573">
        <v>24459.88</v>
      </c>
      <c r="O26" s="491"/>
    </row>
    <row r="27" spans="1:15">
      <c r="A27" s="491">
        <v>21</v>
      </c>
      <c r="B27" s="498" t="s">
        <v>582</v>
      </c>
      <c r="C27" s="574">
        <f t="shared" si="0"/>
        <v>2147732.3564000004</v>
      </c>
      <c r="D27" s="568">
        <v>2109345.0764000001</v>
      </c>
      <c r="E27" s="568">
        <v>18206.740000000002</v>
      </c>
      <c r="F27" s="573">
        <v>13838.85</v>
      </c>
      <c r="G27" s="573">
        <v>5550.26</v>
      </c>
      <c r="H27" s="568">
        <v>791.43</v>
      </c>
      <c r="I27" s="575">
        <f t="shared" si="1"/>
        <v>51725.790499999981</v>
      </c>
      <c r="J27" s="573">
        <v>42186.901499999985</v>
      </c>
      <c r="K27" s="573">
        <v>1820.674</v>
      </c>
      <c r="L27" s="573">
        <v>4151.6550000000007</v>
      </c>
      <c r="M27" s="573">
        <v>2775.13</v>
      </c>
      <c r="N27" s="573">
        <v>791.43</v>
      </c>
      <c r="O27" s="491"/>
    </row>
    <row r="28" spans="1:15">
      <c r="A28" s="491">
        <v>22</v>
      </c>
      <c r="B28" s="498" t="s">
        <v>583</v>
      </c>
      <c r="C28" s="574">
        <f t="shared" si="0"/>
        <v>924321.24000000011</v>
      </c>
      <c r="D28" s="568">
        <v>874681.17</v>
      </c>
      <c r="E28" s="568">
        <v>16150.670000000002</v>
      </c>
      <c r="F28" s="573">
        <v>2572.7200000000003</v>
      </c>
      <c r="G28" s="573">
        <v>30916.68</v>
      </c>
      <c r="H28" s="568"/>
      <c r="I28" s="575">
        <f t="shared" si="1"/>
        <v>35338.846399999995</v>
      </c>
      <c r="J28" s="573">
        <v>17493.623399999997</v>
      </c>
      <c r="K28" s="573">
        <v>1615.0669999999998</v>
      </c>
      <c r="L28" s="573">
        <v>771.81600000000003</v>
      </c>
      <c r="M28" s="573">
        <v>15458.34</v>
      </c>
      <c r="N28" s="573"/>
      <c r="O28" s="491"/>
    </row>
    <row r="29" spans="1:15">
      <c r="A29" s="491">
        <v>23</v>
      </c>
      <c r="B29" s="498" t="s">
        <v>584</v>
      </c>
      <c r="C29" s="574">
        <f t="shared" si="0"/>
        <v>371617490.10230047</v>
      </c>
      <c r="D29" s="568">
        <v>349903997.01720047</v>
      </c>
      <c r="E29" s="568">
        <v>10882588.650300015</v>
      </c>
      <c r="F29" s="573">
        <v>6178916.0633999882</v>
      </c>
      <c r="G29" s="573">
        <v>3133063.4399999972</v>
      </c>
      <c r="H29" s="568">
        <v>1518924.9313999992</v>
      </c>
      <c r="I29" s="575">
        <f t="shared" si="1"/>
        <v>13025470.275700407</v>
      </c>
      <c r="J29" s="573">
        <v>6998079.9403004078</v>
      </c>
      <c r="K29" s="573">
        <v>1088258.8649999979</v>
      </c>
      <c r="L29" s="573">
        <v>1853674.8190000032</v>
      </c>
      <c r="M29" s="573">
        <v>1566531.7199999986</v>
      </c>
      <c r="N29" s="573">
        <v>1518924.9313999992</v>
      </c>
      <c r="O29" s="491"/>
    </row>
    <row r="30" spans="1:15">
      <c r="A30" s="491">
        <v>24</v>
      </c>
      <c r="B30" s="498" t="s">
        <v>585</v>
      </c>
      <c r="C30" s="574">
        <f t="shared" si="0"/>
        <v>709317063.80369055</v>
      </c>
      <c r="D30" s="568">
        <v>673038420.95449066</v>
      </c>
      <c r="E30" s="568">
        <v>20527347.061999954</v>
      </c>
      <c r="F30" s="573">
        <v>8185500.3328999812</v>
      </c>
      <c r="G30" s="573">
        <v>4402412.9842999997</v>
      </c>
      <c r="H30" s="568">
        <v>3163382.47</v>
      </c>
      <c r="I30" s="575">
        <f t="shared" si="1"/>
        <v>23333742.187102359</v>
      </c>
      <c r="J30" s="573">
        <v>13460768.418802362</v>
      </c>
      <c r="K30" s="573">
        <v>2052734.7062000036</v>
      </c>
      <c r="L30" s="573">
        <v>2455650.0998999965</v>
      </c>
      <c r="M30" s="573">
        <v>2201206.4921999997</v>
      </c>
      <c r="N30" s="573">
        <v>3163382.47</v>
      </c>
      <c r="O30" s="491"/>
    </row>
    <row r="31" spans="1:15">
      <c r="A31" s="491">
        <v>25</v>
      </c>
      <c r="B31" s="498" t="s">
        <v>586</v>
      </c>
      <c r="C31" s="574">
        <f t="shared" si="0"/>
        <v>145445692.5209955</v>
      </c>
      <c r="D31" s="568">
        <v>138629887.00139549</v>
      </c>
      <c r="E31" s="568">
        <v>3447905.6875000005</v>
      </c>
      <c r="F31" s="573">
        <v>1644937.5500000017</v>
      </c>
      <c r="G31" s="573">
        <v>1228626.5021000016</v>
      </c>
      <c r="H31" s="568">
        <v>494335.78</v>
      </c>
      <c r="I31" s="575">
        <f t="shared" si="1"/>
        <v>4719518.6053000167</v>
      </c>
      <c r="J31" s="573">
        <v>2772597.7404000168</v>
      </c>
      <c r="K31" s="573">
        <v>344790.5687999996</v>
      </c>
      <c r="L31" s="573">
        <v>493481.2649999992</v>
      </c>
      <c r="M31" s="573">
        <v>614313.25110000081</v>
      </c>
      <c r="N31" s="573">
        <v>494335.78</v>
      </c>
      <c r="O31" s="491"/>
    </row>
    <row r="32" spans="1:15">
      <c r="A32" s="491">
        <v>26</v>
      </c>
      <c r="B32" s="498" t="s">
        <v>688</v>
      </c>
      <c r="C32" s="574">
        <f t="shared" si="0"/>
        <v>69651810.586400479</v>
      </c>
      <c r="D32" s="568">
        <v>65535460.85640049</v>
      </c>
      <c r="E32" s="568">
        <v>2152429.4299999992</v>
      </c>
      <c r="F32" s="573">
        <v>876678.96</v>
      </c>
      <c r="G32" s="573">
        <v>528820.12000000011</v>
      </c>
      <c r="H32" s="568">
        <v>558421.22</v>
      </c>
      <c r="I32" s="575">
        <f t="shared" si="1"/>
        <v>2611787.127899969</v>
      </c>
      <c r="J32" s="573">
        <v>1310709.2168999687</v>
      </c>
      <c r="K32" s="573">
        <v>215242.9430000002</v>
      </c>
      <c r="L32" s="573">
        <v>263003.68799999997</v>
      </c>
      <c r="M32" s="573">
        <v>264410.06000000006</v>
      </c>
      <c r="N32" s="573">
        <v>558421.22</v>
      </c>
      <c r="O32" s="491"/>
    </row>
    <row r="33" spans="1:15">
      <c r="A33" s="491">
        <v>27</v>
      </c>
      <c r="B33" s="527" t="s">
        <v>68</v>
      </c>
      <c r="C33" s="574">
        <f>SUM(C7:C32)</f>
        <v>1792622194.071888</v>
      </c>
      <c r="D33" s="575">
        <f>SUM(D7:D32)</f>
        <v>1699281091.974288</v>
      </c>
      <c r="E33" s="575">
        <f t="shared" ref="E33:H33" si="2">SUM(E7:E32)</f>
        <v>50549244.800999969</v>
      </c>
      <c r="F33" s="575">
        <f t="shared" si="2"/>
        <v>22651277.328299973</v>
      </c>
      <c r="G33" s="575">
        <f t="shared" si="2"/>
        <v>12882855.6263</v>
      </c>
      <c r="H33" s="575">
        <f t="shared" si="2"/>
        <v>7257724.3419999992</v>
      </c>
      <c r="I33" s="575">
        <f>SUM(I7:I32)</f>
        <v>59535081.673602656</v>
      </c>
      <c r="J33" s="575">
        <f t="shared" ref="J33:N33" si="3">SUM(J7:J32)</f>
        <v>33985621.839702666</v>
      </c>
      <c r="K33" s="575">
        <f t="shared" si="3"/>
        <v>5054924.480200001</v>
      </c>
      <c r="L33" s="575">
        <f t="shared" si="3"/>
        <v>6795383.1983999992</v>
      </c>
      <c r="M33" s="575">
        <f t="shared" si="3"/>
        <v>6441427.8132999986</v>
      </c>
      <c r="N33" s="575">
        <f t="shared" si="3"/>
        <v>7257724.3419999992</v>
      </c>
      <c r="O33" s="491"/>
    </row>
    <row r="35" spans="1:15">
      <c r="B35" s="499"/>
      <c r="C35" s="499"/>
      <c r="D35" s="611"/>
      <c r="E35" s="611"/>
      <c r="F35" s="643"/>
      <c r="G35" s="643"/>
      <c r="H35" s="611"/>
    </row>
    <row r="36" spans="1:15">
      <c r="C36" s="610"/>
      <c r="D36" s="609"/>
      <c r="E36" s="609"/>
    </row>
    <row r="37" spans="1:15">
      <c r="C37" s="610"/>
      <c r="D37" s="609"/>
      <c r="E37" s="609"/>
    </row>
    <row r="38" spans="1:15">
      <c r="F38" s="477"/>
      <c r="G38" s="477"/>
    </row>
    <row r="39" spans="1:15">
      <c r="C39" s="610"/>
    </row>
    <row r="40" spans="1:15">
      <c r="C40" s="610"/>
    </row>
    <row r="41" spans="1:15">
      <c r="A41" s="495"/>
      <c r="B41" s="495"/>
      <c r="C41" s="495"/>
    </row>
    <row r="42" spans="1:15">
      <c r="A42" s="495"/>
      <c r="B42" s="495"/>
      <c r="C42" s="495"/>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75" zoomScaleNormal="75" workbookViewId="0">
      <selection activeCell="H19" sqref="H19"/>
    </sheetView>
  </sheetViews>
  <sheetFormatPr defaultColWidth="8.7109375" defaultRowHeight="12"/>
  <cols>
    <col min="1" max="1" width="11.85546875" style="528" bestFit="1" customWidth="1"/>
    <col min="2" max="2" width="56.5703125" style="528" customWidth="1"/>
    <col min="3" max="3" width="23" style="528" customWidth="1"/>
    <col min="4" max="4" width="23.140625" style="528" customWidth="1"/>
    <col min="5" max="5" width="23.28515625" style="528" customWidth="1"/>
    <col min="6" max="6" width="22.140625" style="528" customWidth="1"/>
    <col min="7" max="7" width="20.7109375" style="528" customWidth="1"/>
    <col min="8" max="8" width="21.28515625" style="528" customWidth="1"/>
    <col min="9" max="9" width="22.28515625" style="528" customWidth="1"/>
    <col min="10" max="10" width="21.85546875" style="528" customWidth="1"/>
    <col min="11" max="11" width="24.28515625" style="528" customWidth="1"/>
    <col min="12" max="16384" width="8.7109375" style="528"/>
  </cols>
  <sheetData>
    <row r="1" spans="1:11" s="477" customFormat="1" ht="13.5">
      <c r="A1" s="476" t="s">
        <v>188</v>
      </c>
      <c r="B1" s="400" t="str">
        <f>Info!C2</f>
        <v>სს "კრედო ბანკი"</v>
      </c>
    </row>
    <row r="2" spans="1:11" s="477" customFormat="1" ht="12.75">
      <c r="A2" s="476" t="s">
        <v>189</v>
      </c>
      <c r="B2" s="479">
        <f>'1. key ratios'!B2</f>
        <v>44926</v>
      </c>
    </row>
    <row r="3" spans="1:11" s="477" customFormat="1" ht="12.75">
      <c r="A3" s="478" t="s">
        <v>689</v>
      </c>
    </row>
    <row r="4" spans="1:11">
      <c r="C4" s="529" t="s">
        <v>539</v>
      </c>
      <c r="D4" s="529" t="s">
        <v>540</v>
      </c>
      <c r="E4" s="529" t="s">
        <v>541</v>
      </c>
      <c r="F4" s="529" t="s">
        <v>542</v>
      </c>
      <c r="G4" s="529" t="s">
        <v>543</v>
      </c>
      <c r="H4" s="529" t="s">
        <v>544</v>
      </c>
      <c r="I4" s="529" t="s">
        <v>545</v>
      </c>
      <c r="J4" s="529" t="s">
        <v>546</v>
      </c>
      <c r="K4" s="529" t="s">
        <v>547</v>
      </c>
    </row>
    <row r="5" spans="1:11" ht="129.75" customHeight="1">
      <c r="A5" s="750" t="s">
        <v>690</v>
      </c>
      <c r="B5" s="751"/>
      <c r="C5" s="480" t="s">
        <v>691</v>
      </c>
      <c r="D5" s="480" t="s">
        <v>677</v>
      </c>
      <c r="E5" s="480" t="s">
        <v>678</v>
      </c>
      <c r="F5" s="480" t="s">
        <v>692</v>
      </c>
      <c r="G5" s="480" t="s">
        <v>693</v>
      </c>
      <c r="H5" s="480" t="s">
        <v>694</v>
      </c>
      <c r="I5" s="480" t="s">
        <v>695</v>
      </c>
      <c r="J5" s="480" t="s">
        <v>696</v>
      </c>
      <c r="K5" s="480" t="s">
        <v>697</v>
      </c>
    </row>
    <row r="6" spans="1:11" ht="12.75">
      <c r="A6" s="491">
        <v>1</v>
      </c>
      <c r="B6" s="491" t="s">
        <v>698</v>
      </c>
      <c r="C6" s="568">
        <v>10447128.42</v>
      </c>
      <c r="D6" s="568">
        <v>102819.11</v>
      </c>
      <c r="E6" s="568"/>
      <c r="F6" s="568">
        <v>40197.54</v>
      </c>
      <c r="G6" s="568">
        <v>428849676.92717791</v>
      </c>
      <c r="H6" s="568"/>
      <c r="I6" s="568">
        <v>31238741</v>
      </c>
      <c r="J6" s="568">
        <v>245597753.12086126</v>
      </c>
      <c r="K6" s="568">
        <v>1076345877.953851</v>
      </c>
    </row>
    <row r="7" spans="1:11" ht="12.75">
      <c r="A7" s="491">
        <v>2</v>
      </c>
      <c r="B7" s="491" t="s">
        <v>699</v>
      </c>
      <c r="C7" s="568"/>
      <c r="D7" s="568"/>
      <c r="E7" s="568"/>
      <c r="F7" s="568"/>
      <c r="G7" s="568"/>
      <c r="H7" s="568"/>
      <c r="I7" s="568"/>
      <c r="J7" s="568"/>
      <c r="K7" s="568"/>
    </row>
    <row r="8" spans="1:11" ht="12.75">
      <c r="A8" s="491">
        <v>3</v>
      </c>
      <c r="B8" s="491" t="s">
        <v>649</v>
      </c>
      <c r="C8" s="569">
        <v>2702000</v>
      </c>
      <c r="D8" s="568"/>
      <c r="E8" s="568"/>
      <c r="F8" s="568"/>
      <c r="G8" s="569">
        <v>305899</v>
      </c>
      <c r="H8" s="568"/>
      <c r="I8" s="568"/>
      <c r="J8" s="568"/>
      <c r="K8" s="568">
        <v>42289333</v>
      </c>
    </row>
    <row r="9" spans="1:11" ht="12.75">
      <c r="A9" s="491">
        <v>4</v>
      </c>
      <c r="B9" s="516" t="s">
        <v>700</v>
      </c>
      <c r="C9" s="568"/>
      <c r="D9" s="568"/>
      <c r="E9" s="568"/>
      <c r="F9" s="568"/>
      <c r="G9" s="569">
        <v>3207595</v>
      </c>
      <c r="H9" s="568"/>
      <c r="I9" s="569">
        <v>226861</v>
      </c>
      <c r="J9" s="569">
        <v>9604083</v>
      </c>
      <c r="K9" s="568">
        <v>29753317.728879303</v>
      </c>
    </row>
    <row r="10" spans="1:11" ht="12.75">
      <c r="A10" s="491">
        <v>5</v>
      </c>
      <c r="B10" s="516" t="s">
        <v>701</v>
      </c>
      <c r="C10" s="568"/>
      <c r="D10" s="568"/>
      <c r="E10" s="568"/>
      <c r="F10" s="568"/>
      <c r="G10" s="568"/>
      <c r="H10" s="568"/>
      <c r="I10" s="568"/>
      <c r="J10" s="568"/>
      <c r="K10" s="568"/>
    </row>
    <row r="11" spans="1:11" ht="12.75">
      <c r="A11" s="491">
        <v>6</v>
      </c>
      <c r="B11" s="516" t="s">
        <v>702</v>
      </c>
      <c r="C11" s="568"/>
      <c r="D11" s="568"/>
      <c r="E11" s="568"/>
      <c r="F11" s="568"/>
      <c r="G11" s="568"/>
      <c r="H11" s="568"/>
      <c r="I11" s="568"/>
      <c r="J11" s="568"/>
      <c r="K11" s="568"/>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D032C-D92E-4BE7-BFBE-144C8CD7F223}">
  <dimension ref="A1:S20"/>
  <sheetViews>
    <sheetView showGridLines="0" topLeftCell="A2" zoomScale="80" zoomScaleNormal="80" workbookViewId="0">
      <pane xSplit="1" topLeftCell="I1" activePane="topRight" state="frozen"/>
      <selection activeCell="A2" sqref="A2"/>
      <selection pane="topRight" activeCell="Q22" sqref="Q22"/>
    </sheetView>
  </sheetViews>
  <sheetFormatPr defaultRowHeight="15"/>
  <cols>
    <col min="1" max="1" width="10" bestFit="1" customWidth="1"/>
    <col min="2" max="2" width="48.85546875" customWidth="1"/>
    <col min="3" max="4" width="17.140625" bestFit="1" customWidth="1"/>
    <col min="5" max="5" width="14.28515625" bestFit="1" customWidth="1"/>
    <col min="6" max="6" width="16.140625" bestFit="1" customWidth="1"/>
    <col min="7" max="7" width="13.7109375" bestFit="1" customWidth="1"/>
    <col min="8" max="8" width="13.140625" bestFit="1" customWidth="1"/>
    <col min="9" max="9" width="14.28515625" bestFit="1" customWidth="1"/>
    <col min="10" max="10" width="14.140625" bestFit="1" customWidth="1"/>
    <col min="11" max="11" width="13.140625" bestFit="1" customWidth="1"/>
    <col min="12" max="12" width="16.140625" bestFit="1" customWidth="1"/>
    <col min="13" max="13" width="14.140625" bestFit="1" customWidth="1"/>
    <col min="14" max="14" width="13.140625" bestFit="1" customWidth="1"/>
    <col min="15" max="15" width="18" bestFit="1" customWidth="1"/>
    <col min="16" max="17" width="26.5703125" customWidth="1"/>
    <col min="18" max="19" width="26.42578125" customWidth="1"/>
  </cols>
  <sheetData>
    <row r="1" spans="1:19">
      <c r="A1" s="476" t="s">
        <v>188</v>
      </c>
      <c r="B1" s="400" t="str">
        <f>'25. Collateral'!B1</f>
        <v>სს "კრედო ბანკი"</v>
      </c>
    </row>
    <row r="2" spans="1:19">
      <c r="A2" s="476" t="s">
        <v>189</v>
      </c>
      <c r="B2" s="479">
        <f>'25. Collateral'!B2</f>
        <v>44926</v>
      </c>
    </row>
    <row r="3" spans="1:19">
      <c r="A3" s="478" t="s">
        <v>716</v>
      </c>
      <c r="B3" s="477"/>
    </row>
    <row r="4" spans="1:19">
      <c r="A4" s="478"/>
      <c r="B4" s="477"/>
    </row>
    <row r="5" spans="1:19" ht="24" customHeight="1">
      <c r="A5" s="753" t="s">
        <v>732</v>
      </c>
      <c r="B5" s="753"/>
      <c r="C5" s="754" t="s">
        <v>652</v>
      </c>
      <c r="D5" s="754"/>
      <c r="E5" s="754"/>
      <c r="F5" s="754"/>
      <c r="G5" s="754"/>
      <c r="H5" s="754"/>
      <c r="I5" s="754" t="s">
        <v>738</v>
      </c>
      <c r="J5" s="754"/>
      <c r="K5" s="754"/>
      <c r="L5" s="754"/>
      <c r="M5" s="754"/>
      <c r="N5" s="754"/>
      <c r="O5" s="752" t="s">
        <v>729</v>
      </c>
      <c r="P5" s="752" t="s">
        <v>735</v>
      </c>
      <c r="Q5" s="752" t="s">
        <v>734</v>
      </c>
      <c r="R5" s="752" t="s">
        <v>737</v>
      </c>
      <c r="S5" s="752" t="s">
        <v>730</v>
      </c>
    </row>
    <row r="6" spans="1:19" ht="36" customHeight="1">
      <c r="A6" s="753"/>
      <c r="B6" s="753"/>
      <c r="C6" s="537"/>
      <c r="D6" s="526" t="s">
        <v>683</v>
      </c>
      <c r="E6" s="526" t="s">
        <v>684</v>
      </c>
      <c r="F6" s="526" t="s">
        <v>685</v>
      </c>
      <c r="G6" s="526" t="s">
        <v>686</v>
      </c>
      <c r="H6" s="526" t="s">
        <v>687</v>
      </c>
      <c r="I6" s="537"/>
      <c r="J6" s="526" t="s">
        <v>683</v>
      </c>
      <c r="K6" s="526" t="s">
        <v>684</v>
      </c>
      <c r="L6" s="526" t="s">
        <v>685</v>
      </c>
      <c r="M6" s="526" t="s">
        <v>686</v>
      </c>
      <c r="N6" s="526" t="s">
        <v>687</v>
      </c>
      <c r="O6" s="752"/>
      <c r="P6" s="752"/>
      <c r="Q6" s="752"/>
      <c r="R6" s="752"/>
      <c r="S6" s="752"/>
    </row>
    <row r="7" spans="1:19">
      <c r="A7" s="535">
        <v>1</v>
      </c>
      <c r="B7" s="593" t="s">
        <v>717</v>
      </c>
      <c r="C7" s="582">
        <f>SUM(D7:H7)</f>
        <v>10504190.099999998</v>
      </c>
      <c r="D7" s="580">
        <v>9685031.8399999999</v>
      </c>
      <c r="E7" s="580">
        <v>355233.87</v>
      </c>
      <c r="F7" s="580">
        <v>201490.11</v>
      </c>
      <c r="G7" s="580">
        <v>128881.2</v>
      </c>
      <c r="H7" s="580">
        <v>133553.07999999999</v>
      </c>
      <c r="I7" s="582">
        <f>SUM(J7:N7)</f>
        <v>487664.74</v>
      </c>
      <c r="J7" s="580">
        <v>193700.64</v>
      </c>
      <c r="K7" s="580">
        <v>35523.39</v>
      </c>
      <c r="L7" s="580">
        <v>60447.03</v>
      </c>
      <c r="M7" s="580">
        <v>64440.6</v>
      </c>
      <c r="N7" s="580">
        <v>133553.07999999999</v>
      </c>
      <c r="O7" s="580">
        <v>10796</v>
      </c>
      <c r="P7" s="603">
        <v>0.21999999999999997</v>
      </c>
      <c r="Q7" s="603">
        <v>0.31269950737473706</v>
      </c>
      <c r="R7" s="603">
        <v>0.21</v>
      </c>
      <c r="S7" s="600">
        <v>28.786688000000002</v>
      </c>
    </row>
    <row r="8" spans="1:19">
      <c r="A8" s="535">
        <v>2</v>
      </c>
      <c r="B8" s="594" t="s">
        <v>718</v>
      </c>
      <c r="C8" s="582">
        <f t="shared" ref="C8:C18" si="0">SUM(D8:H8)</f>
        <v>802399424.20999992</v>
      </c>
      <c r="D8" s="580">
        <v>750766591.81999993</v>
      </c>
      <c r="E8" s="580">
        <v>26622111.800000001</v>
      </c>
      <c r="F8" s="580">
        <v>14156787.220000001</v>
      </c>
      <c r="G8" s="580">
        <v>6800758.6300000008</v>
      </c>
      <c r="H8" s="580">
        <v>4053174.7399999998</v>
      </c>
      <c r="I8" s="582">
        <f t="shared" ref="I8:I18" si="1">SUM(J8:N8)</f>
        <v>29378133.25</v>
      </c>
      <c r="J8" s="580">
        <v>15015331.84</v>
      </c>
      <c r="K8" s="580">
        <v>2662211.1800000002</v>
      </c>
      <c r="L8" s="580">
        <v>4247036.1700000009</v>
      </c>
      <c r="M8" s="580">
        <v>3400379.3200000003</v>
      </c>
      <c r="N8" s="580">
        <v>4053174.7399999998</v>
      </c>
      <c r="O8" s="580">
        <v>182841</v>
      </c>
      <c r="P8" s="603">
        <v>0.25292140422823728</v>
      </c>
      <c r="Q8" s="603">
        <v>0.34856124956394702</v>
      </c>
      <c r="R8" s="603">
        <v>0.23</v>
      </c>
      <c r="S8" s="600">
        <v>34.674537000000001</v>
      </c>
    </row>
    <row r="9" spans="1:19">
      <c r="A9" s="535">
        <v>3</v>
      </c>
      <c r="B9" s="594" t="s">
        <v>719</v>
      </c>
      <c r="C9" s="582">
        <f t="shared" si="0"/>
        <v>0</v>
      </c>
      <c r="D9" s="580"/>
      <c r="E9" s="580">
        <v>0</v>
      </c>
      <c r="F9" s="580">
        <v>0</v>
      </c>
      <c r="G9" s="580">
        <v>0</v>
      </c>
      <c r="H9" s="580">
        <v>0</v>
      </c>
      <c r="I9" s="582">
        <f t="shared" si="1"/>
        <v>0</v>
      </c>
      <c r="J9" s="580"/>
      <c r="K9" s="580">
        <v>0</v>
      </c>
      <c r="L9" s="580">
        <v>0</v>
      </c>
      <c r="M9" s="580">
        <v>0</v>
      </c>
      <c r="N9" s="580">
        <v>0</v>
      </c>
      <c r="O9" s="580">
        <v>0</v>
      </c>
      <c r="P9" s="604"/>
      <c r="Q9" s="603"/>
      <c r="R9" s="604"/>
      <c r="S9" s="600"/>
    </row>
    <row r="10" spans="1:19">
      <c r="A10" s="535">
        <v>4</v>
      </c>
      <c r="B10" s="594" t="s">
        <v>720</v>
      </c>
      <c r="C10" s="582">
        <f t="shared" si="0"/>
        <v>194206700.75999999</v>
      </c>
      <c r="D10" s="580">
        <v>189193594.49000001</v>
      </c>
      <c r="E10" s="580">
        <v>2310586.2599999998</v>
      </c>
      <c r="F10" s="580">
        <v>1479054.61</v>
      </c>
      <c r="G10" s="580">
        <v>1048078.95</v>
      </c>
      <c r="H10" s="580">
        <v>175386.45</v>
      </c>
      <c r="I10" s="582">
        <f t="shared" si="1"/>
        <v>5158072.830000001</v>
      </c>
      <c r="J10" s="580">
        <v>3783871.89</v>
      </c>
      <c r="K10" s="580">
        <v>231058.63</v>
      </c>
      <c r="L10" s="580">
        <v>443716.38</v>
      </c>
      <c r="M10" s="580">
        <v>524039.48</v>
      </c>
      <c r="N10" s="580">
        <v>175386.45</v>
      </c>
      <c r="O10" s="580">
        <v>253909</v>
      </c>
      <c r="P10" s="603">
        <v>3.9999999999999994E-2</v>
      </c>
      <c r="Q10" s="603">
        <v>0.19769915119148332</v>
      </c>
      <c r="R10" s="603">
        <v>0.04</v>
      </c>
      <c r="S10" s="600">
        <v>11.482703000000001</v>
      </c>
    </row>
    <row r="11" spans="1:19">
      <c r="A11" s="535">
        <v>5</v>
      </c>
      <c r="B11" s="594" t="s">
        <v>721</v>
      </c>
      <c r="C11" s="582">
        <f t="shared" si="0"/>
        <v>42338.36</v>
      </c>
      <c r="D11" s="580">
        <v>40156.980000000003</v>
      </c>
      <c r="E11" s="580">
        <v>0</v>
      </c>
      <c r="F11" s="580">
        <v>1625.64</v>
      </c>
      <c r="G11" s="580">
        <v>555.74</v>
      </c>
      <c r="H11" s="580">
        <v>0</v>
      </c>
      <c r="I11" s="582">
        <f t="shared" si="1"/>
        <v>1568.6999999999998</v>
      </c>
      <c r="J11" s="580">
        <v>803.14</v>
      </c>
      <c r="K11" s="580">
        <v>0</v>
      </c>
      <c r="L11" s="580">
        <v>487.69</v>
      </c>
      <c r="M11" s="580">
        <v>277.87</v>
      </c>
      <c r="N11" s="580">
        <v>0</v>
      </c>
      <c r="O11" s="580">
        <v>23</v>
      </c>
      <c r="P11" s="603">
        <v>0.28568285379977687</v>
      </c>
      <c r="Q11" s="603">
        <v>0.36466949578383956</v>
      </c>
      <c r="R11" s="603">
        <v>0.33</v>
      </c>
      <c r="S11" s="600">
        <v>4.4211840000000002</v>
      </c>
    </row>
    <row r="12" spans="1:19">
      <c r="A12" s="535">
        <v>6</v>
      </c>
      <c r="B12" s="594" t="s">
        <v>722</v>
      </c>
      <c r="C12" s="582">
        <f t="shared" si="0"/>
        <v>13991949.449999999</v>
      </c>
      <c r="D12" s="580">
        <v>13183622.4</v>
      </c>
      <c r="E12" s="580">
        <v>254794.62</v>
      </c>
      <c r="F12" s="580">
        <v>312801.78000000003</v>
      </c>
      <c r="G12" s="580">
        <v>221454.26</v>
      </c>
      <c r="H12" s="580">
        <v>19276.39</v>
      </c>
      <c r="I12" s="582">
        <f t="shared" si="1"/>
        <v>512995.96000000008</v>
      </c>
      <c r="J12" s="580">
        <v>263672.45</v>
      </c>
      <c r="K12" s="580">
        <v>25479.46</v>
      </c>
      <c r="L12" s="580">
        <v>93840.53</v>
      </c>
      <c r="M12" s="580">
        <v>110727.13</v>
      </c>
      <c r="N12" s="580">
        <v>19276.39</v>
      </c>
      <c r="O12" s="580">
        <v>27169</v>
      </c>
      <c r="P12" s="603">
        <v>0.3000000000000001</v>
      </c>
      <c r="Q12" s="603">
        <v>0.36741104709710548</v>
      </c>
      <c r="R12" s="603">
        <v>0.3</v>
      </c>
      <c r="S12" s="600">
        <v>309.31061799999998</v>
      </c>
    </row>
    <row r="13" spans="1:19">
      <c r="A13" s="535">
        <v>7</v>
      </c>
      <c r="B13" s="594" t="s">
        <v>723</v>
      </c>
      <c r="C13" s="582">
        <f t="shared" si="0"/>
        <v>180711626.78</v>
      </c>
      <c r="D13" s="580">
        <v>174744606.08000001</v>
      </c>
      <c r="E13" s="580">
        <v>3317883.47</v>
      </c>
      <c r="F13" s="580">
        <v>1327897.98</v>
      </c>
      <c r="G13" s="580">
        <v>940264.74</v>
      </c>
      <c r="H13" s="580">
        <v>380974.51</v>
      </c>
      <c r="I13" s="582">
        <f t="shared" si="1"/>
        <v>5076156.7299999995</v>
      </c>
      <c r="J13" s="580">
        <v>3494892.12</v>
      </c>
      <c r="K13" s="580">
        <v>331788.34000000003</v>
      </c>
      <c r="L13" s="580">
        <v>398369.39</v>
      </c>
      <c r="M13" s="580">
        <v>470132.37</v>
      </c>
      <c r="N13" s="580">
        <v>380974.51</v>
      </c>
      <c r="O13" s="580">
        <v>18811</v>
      </c>
      <c r="P13" s="603">
        <v>0.18649893147399688</v>
      </c>
      <c r="Q13" s="603">
        <v>0.24649893147399687</v>
      </c>
      <c r="R13" s="603">
        <v>0.19</v>
      </c>
      <c r="S13" s="600">
        <v>65.994377</v>
      </c>
    </row>
    <row r="14" spans="1:19" ht="25.5">
      <c r="A14" s="595">
        <v>7.1</v>
      </c>
      <c r="B14" s="596" t="s">
        <v>724</v>
      </c>
      <c r="C14" s="582">
        <f t="shared" si="0"/>
        <v>66677513.369999997</v>
      </c>
      <c r="D14" s="580">
        <v>65665219.299999997</v>
      </c>
      <c r="E14" s="580">
        <v>672087.62</v>
      </c>
      <c r="F14" s="580">
        <v>252449.25</v>
      </c>
      <c r="G14" s="580">
        <v>87757.2</v>
      </c>
      <c r="H14" s="580">
        <v>0</v>
      </c>
      <c r="I14" s="582">
        <f t="shared" si="1"/>
        <v>1500126.5200000003</v>
      </c>
      <c r="J14" s="580">
        <v>1313304.3900000001</v>
      </c>
      <c r="K14" s="580">
        <v>67208.760000000009</v>
      </c>
      <c r="L14" s="580">
        <v>75734.77</v>
      </c>
      <c r="M14" s="580">
        <v>43878.6</v>
      </c>
      <c r="N14" s="580">
        <v>0</v>
      </c>
      <c r="O14" s="580">
        <v>1045</v>
      </c>
      <c r="P14" s="603">
        <v>0.13723931703251926</v>
      </c>
      <c r="Q14" s="603">
        <v>0.16</v>
      </c>
      <c r="R14" s="603">
        <v>0.13</v>
      </c>
      <c r="S14" s="600">
        <v>120.107468</v>
      </c>
    </row>
    <row r="15" spans="1:19" ht="25.5">
      <c r="A15" s="595">
        <v>7.2</v>
      </c>
      <c r="B15" s="596" t="s">
        <v>725</v>
      </c>
      <c r="C15" s="582">
        <f t="shared" si="0"/>
        <v>2596292.0699999998</v>
      </c>
      <c r="D15" s="580">
        <v>2596292.0699999998</v>
      </c>
      <c r="E15" s="580">
        <v>0</v>
      </c>
      <c r="F15" s="580">
        <v>0</v>
      </c>
      <c r="G15" s="580">
        <v>0</v>
      </c>
      <c r="H15" s="580">
        <v>0</v>
      </c>
      <c r="I15" s="582">
        <f t="shared" si="1"/>
        <v>51925.840000000004</v>
      </c>
      <c r="J15" s="580">
        <v>51925.840000000004</v>
      </c>
      <c r="K15" s="580">
        <v>0</v>
      </c>
      <c r="L15" s="580">
        <v>0</v>
      </c>
      <c r="M15" s="580">
        <v>0</v>
      </c>
      <c r="N15" s="580">
        <v>0</v>
      </c>
      <c r="O15" s="580">
        <v>54</v>
      </c>
      <c r="P15" s="603">
        <v>0.14956361233682061</v>
      </c>
      <c r="Q15" s="603">
        <v>0.17116370043514509</v>
      </c>
      <c r="R15" s="603">
        <v>0.14000000000000001</v>
      </c>
      <c r="S15" s="600">
        <v>84.232223000000005</v>
      </c>
    </row>
    <row r="16" spans="1:19">
      <c r="A16" s="595">
        <v>7.3</v>
      </c>
      <c r="B16" s="596" t="s">
        <v>726</v>
      </c>
      <c r="C16" s="582">
        <f t="shared" si="0"/>
        <v>111437821.34</v>
      </c>
      <c r="D16" s="580">
        <v>106483094.70999999</v>
      </c>
      <c r="E16" s="580">
        <v>2645795.85</v>
      </c>
      <c r="F16" s="580">
        <v>1075448.73</v>
      </c>
      <c r="G16" s="580">
        <v>852507.54</v>
      </c>
      <c r="H16" s="580">
        <v>380974.51</v>
      </c>
      <c r="I16" s="582">
        <f t="shared" si="1"/>
        <v>3524104.37</v>
      </c>
      <c r="J16" s="580">
        <v>2129661.89</v>
      </c>
      <c r="K16" s="580">
        <v>264579.58</v>
      </c>
      <c r="L16" s="580">
        <v>322634.62</v>
      </c>
      <c r="M16" s="580">
        <v>426253.77</v>
      </c>
      <c r="N16" s="580">
        <v>380974.51</v>
      </c>
      <c r="O16" s="580">
        <v>17712</v>
      </c>
      <c r="P16" s="603">
        <v>0.24328389147134133</v>
      </c>
      <c r="Q16" s="603">
        <v>0.33656778294268264</v>
      </c>
      <c r="R16" s="603">
        <v>0.22</v>
      </c>
      <c r="S16" s="600">
        <v>33.128984000000003</v>
      </c>
    </row>
    <row r="17" spans="1:19">
      <c r="A17" s="535">
        <v>8</v>
      </c>
      <c r="B17" s="594" t="s">
        <v>727</v>
      </c>
      <c r="C17" s="582">
        <f t="shared" si="0"/>
        <v>0</v>
      </c>
      <c r="D17" s="580">
        <v>0</v>
      </c>
      <c r="E17" s="580">
        <v>0</v>
      </c>
      <c r="F17" s="580"/>
      <c r="G17" s="580">
        <v>0</v>
      </c>
      <c r="H17" s="580">
        <v>0</v>
      </c>
      <c r="I17" s="582">
        <f t="shared" si="1"/>
        <v>0</v>
      </c>
      <c r="J17" s="580">
        <v>0</v>
      </c>
      <c r="K17" s="580">
        <v>0</v>
      </c>
      <c r="L17" s="580"/>
      <c r="M17" s="580">
        <v>0</v>
      </c>
      <c r="N17" s="580">
        <v>0</v>
      </c>
      <c r="O17" s="580">
        <v>0</v>
      </c>
      <c r="P17" s="604"/>
      <c r="Q17" s="603"/>
      <c r="R17" s="604"/>
      <c r="S17" s="600"/>
    </row>
    <row r="18" spans="1:19">
      <c r="A18" s="536">
        <v>9</v>
      </c>
      <c r="B18" s="597" t="s">
        <v>728</v>
      </c>
      <c r="C18" s="582">
        <f t="shared" si="0"/>
        <v>2697787.71</v>
      </c>
      <c r="D18" s="581">
        <v>2663370.19</v>
      </c>
      <c r="E18" s="581">
        <v>13660.38</v>
      </c>
      <c r="F18" s="581">
        <v>4559.29</v>
      </c>
      <c r="G18" s="581">
        <v>9477.8799999999992</v>
      </c>
      <c r="H18" s="581">
        <v>6719.97</v>
      </c>
      <c r="I18" s="582">
        <f t="shared" si="1"/>
        <v>67460.14</v>
      </c>
      <c r="J18" s="581">
        <v>53267.4</v>
      </c>
      <c r="K18" s="581">
        <v>1366.04</v>
      </c>
      <c r="L18" s="581">
        <v>1367.79</v>
      </c>
      <c r="M18" s="581">
        <v>4738.9399999999996</v>
      </c>
      <c r="N18" s="581">
        <v>6719.97</v>
      </c>
      <c r="O18" s="581">
        <v>1057</v>
      </c>
      <c r="P18" s="605">
        <v>5.4560629463878518E-2</v>
      </c>
      <c r="Q18" s="605">
        <v>7.4560629463878522E-2</v>
      </c>
      <c r="R18" s="605">
        <v>0.09</v>
      </c>
      <c r="S18" s="601">
        <v>39.213236999999999</v>
      </c>
    </row>
    <row r="19" spans="1:19">
      <c r="A19" s="535">
        <v>10</v>
      </c>
      <c r="B19" s="598" t="s">
        <v>733</v>
      </c>
      <c r="C19" s="582">
        <f>SUM(C7:C13)+SUM(C17:C18)</f>
        <v>1204554017.3700001</v>
      </c>
      <c r="D19" s="582">
        <f>SUM(D7:D13)+SUM(D17:D18)</f>
        <v>1140276973.8</v>
      </c>
      <c r="E19" s="582">
        <f t="shared" ref="E19:H19" si="2">SUM(E7:E13)+SUM(E17:E18)</f>
        <v>32874270.399999999</v>
      </c>
      <c r="F19" s="582">
        <f t="shared" si="2"/>
        <v>17484216.629999999</v>
      </c>
      <c r="G19" s="582">
        <f t="shared" si="2"/>
        <v>9149471.4000000022</v>
      </c>
      <c r="H19" s="582">
        <f t="shared" si="2"/>
        <v>4769085.1399999987</v>
      </c>
      <c r="I19" s="582">
        <f>SUM(I7:I13)+SUM(I17:I18)</f>
        <v>40682052.350000001</v>
      </c>
      <c r="J19" s="582">
        <f>SUM(J7:J13)+SUM(J17:J18)</f>
        <v>22805539.48</v>
      </c>
      <c r="K19" s="582">
        <f t="shared" ref="K19:O19" si="3">SUM(K7:K13)+SUM(K17:K18)</f>
        <v>3287427.04</v>
      </c>
      <c r="L19" s="582">
        <f t="shared" si="3"/>
        <v>5245264.9800000014</v>
      </c>
      <c r="M19" s="582">
        <f t="shared" si="3"/>
        <v>4574735.7100000009</v>
      </c>
      <c r="N19" s="582">
        <f t="shared" si="3"/>
        <v>4769085.1399999987</v>
      </c>
      <c r="O19" s="582">
        <f t="shared" si="3"/>
        <v>494606</v>
      </c>
      <c r="P19" s="599">
        <v>0.18020392517746284</v>
      </c>
      <c r="Q19" s="599">
        <v>0.28434499211608855</v>
      </c>
      <c r="R19" s="599">
        <v>0.19264424945877268</v>
      </c>
      <c r="S19" s="602">
        <v>42.326895182755422</v>
      </c>
    </row>
    <row r="20" spans="1:19" ht="25.5">
      <c r="A20" s="595">
        <v>10.1</v>
      </c>
      <c r="B20" s="596" t="s">
        <v>736</v>
      </c>
      <c r="C20" s="582">
        <f>SUM(D20:H20)</f>
        <v>478883.2900000001</v>
      </c>
      <c r="D20" s="580">
        <v>466252.74000000011</v>
      </c>
      <c r="E20" s="580">
        <v>12310.55</v>
      </c>
      <c r="F20" s="580">
        <v>320</v>
      </c>
      <c r="G20" s="580"/>
      <c r="H20" s="580"/>
      <c r="I20" s="582">
        <f>SUM(J20:N20)</f>
        <v>10652.109799999997</v>
      </c>
      <c r="J20" s="580">
        <v>9325.0547999999962</v>
      </c>
      <c r="K20" s="580">
        <v>1231.0550000000001</v>
      </c>
      <c r="L20" s="580">
        <v>96</v>
      </c>
      <c r="M20" s="580"/>
      <c r="N20" s="580"/>
      <c r="O20" s="580">
        <v>215</v>
      </c>
      <c r="P20" s="640">
        <v>0.2419</v>
      </c>
      <c r="Q20" s="644">
        <v>0.3533</v>
      </c>
      <c r="R20" s="640">
        <v>0.23699999999999999</v>
      </c>
      <c r="S20" s="641">
        <v>27.3</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ignoredErrors>
    <ignoredError sqref="I7 I8:I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3"/>
  <sheetViews>
    <sheetView workbookViewId="0">
      <pane xSplit="1" ySplit="5" topLeftCell="B26" activePane="bottomRight" state="frozen"/>
      <selection pane="topRight" activeCell="B1" sqref="B1"/>
      <selection pane="bottomLeft" activeCell="A5" sqref="A5"/>
      <selection pane="bottomRight" activeCell="C38" sqref="C38"/>
    </sheetView>
  </sheetViews>
  <sheetFormatPr defaultRowHeight="15"/>
  <cols>
    <col min="1" max="1" width="9.5703125" style="1" bestFit="1" customWidth="1"/>
    <col min="2" max="2" width="55.140625" style="1" bestFit="1" customWidth="1"/>
    <col min="3" max="3" width="12.7109375" style="1" bestFit="1" customWidth="1"/>
    <col min="4" max="4" width="13.28515625" style="1" customWidth="1"/>
    <col min="5" max="5" width="14.5703125" style="1" customWidth="1"/>
    <col min="6" max="6" width="12.7109375" style="1" bestFit="1" customWidth="1"/>
    <col min="7" max="7" width="13.7109375" style="1" customWidth="1"/>
    <col min="8" max="8" width="14.5703125" style="1" customWidth="1"/>
  </cols>
  <sheetData>
    <row r="1" spans="1:9" ht="15.75">
      <c r="A1" s="13" t="s">
        <v>188</v>
      </c>
      <c r="B1" s="1" t="str">
        <f>Info!C2</f>
        <v>სს "კრედო ბანკი"</v>
      </c>
    </row>
    <row r="2" spans="1:9" ht="15.75">
      <c r="A2" s="13" t="s">
        <v>189</v>
      </c>
      <c r="B2" s="434">
        <f>'1. key ratios'!B2</f>
        <v>44926</v>
      </c>
    </row>
    <row r="3" spans="1:9" ht="15.75">
      <c r="A3" s="13"/>
    </row>
    <row r="4" spans="1:9" ht="16.5" thickBot="1">
      <c r="A4" s="14" t="s">
        <v>328</v>
      </c>
      <c r="B4" s="60" t="s">
        <v>243</v>
      </c>
      <c r="C4" s="14"/>
      <c r="D4" s="23"/>
      <c r="E4" s="23"/>
      <c r="F4" s="24"/>
      <c r="G4" s="24"/>
      <c r="H4" s="25" t="s">
        <v>93</v>
      </c>
    </row>
    <row r="5" spans="1:9" ht="15.75">
      <c r="A5" s="26"/>
      <c r="B5" s="27"/>
      <c r="C5" s="654" t="s">
        <v>194</v>
      </c>
      <c r="D5" s="655"/>
      <c r="E5" s="656"/>
      <c r="F5" s="654" t="s">
        <v>195</v>
      </c>
      <c r="G5" s="655"/>
      <c r="H5" s="657"/>
    </row>
    <row r="6" spans="1:9" ht="15.75">
      <c r="A6" s="28" t="s">
        <v>26</v>
      </c>
      <c r="B6" s="29" t="s">
        <v>153</v>
      </c>
      <c r="C6" s="30" t="s">
        <v>27</v>
      </c>
      <c r="D6" s="30" t="s">
        <v>94</v>
      </c>
      <c r="E6" s="30" t="s">
        <v>68</v>
      </c>
      <c r="F6" s="30" t="s">
        <v>27</v>
      </c>
      <c r="G6" s="30" t="s">
        <v>94</v>
      </c>
      <c r="H6" s="31" t="s">
        <v>68</v>
      </c>
    </row>
    <row r="7" spans="1:9" ht="15.75">
      <c r="A7" s="28">
        <v>1</v>
      </c>
      <c r="B7" s="32" t="s">
        <v>154</v>
      </c>
      <c r="C7" s="212">
        <v>45906550.199999996</v>
      </c>
      <c r="D7" s="212">
        <v>32395861.530000001</v>
      </c>
      <c r="E7" s="213">
        <f>C7+D7</f>
        <v>78302411.729999989</v>
      </c>
      <c r="F7" s="214">
        <v>64538233.75</v>
      </c>
      <c r="G7" s="215">
        <v>27478969.570000004</v>
      </c>
      <c r="H7" s="216">
        <f>F7+G7</f>
        <v>92017203.320000008</v>
      </c>
    </row>
    <row r="8" spans="1:9" ht="15.75">
      <c r="A8" s="28">
        <v>2</v>
      </c>
      <c r="B8" s="32" t="s">
        <v>155</v>
      </c>
      <c r="C8" s="212">
        <v>75251260.25</v>
      </c>
      <c r="D8" s="212">
        <v>31350815.68</v>
      </c>
      <c r="E8" s="213">
        <f t="shared" ref="E8:E20" si="0">C8+D8</f>
        <v>106602075.93000001</v>
      </c>
      <c r="F8" s="214">
        <v>40377311.130000003</v>
      </c>
      <c r="G8" s="215">
        <v>19420040.77</v>
      </c>
      <c r="H8" s="216">
        <f t="shared" ref="H8:H40" si="1">F8+G8</f>
        <v>59797351.900000006</v>
      </c>
    </row>
    <row r="9" spans="1:9" ht="15.75">
      <c r="A9" s="28">
        <v>3</v>
      </c>
      <c r="B9" s="32" t="s">
        <v>156</v>
      </c>
      <c r="C9" s="212">
        <v>3628740.29</v>
      </c>
      <c r="D9" s="212">
        <v>110016034.49000001</v>
      </c>
      <c r="E9" s="213">
        <f t="shared" si="0"/>
        <v>113644774.78000002</v>
      </c>
      <c r="F9" s="214">
        <v>1039152.09</v>
      </c>
      <c r="G9" s="215">
        <v>51404304.909999996</v>
      </c>
      <c r="H9" s="216">
        <f t="shared" si="1"/>
        <v>52443457</v>
      </c>
    </row>
    <row r="10" spans="1:9" ht="15.75">
      <c r="A10" s="28">
        <v>4</v>
      </c>
      <c r="B10" s="32" t="s">
        <v>185</v>
      </c>
      <c r="C10" s="212">
        <v>0</v>
      </c>
      <c r="D10" s="212">
        <v>0</v>
      </c>
      <c r="E10" s="213">
        <f t="shared" si="0"/>
        <v>0</v>
      </c>
      <c r="F10" s="214">
        <v>0</v>
      </c>
      <c r="G10" s="215">
        <v>0</v>
      </c>
      <c r="H10" s="216">
        <f t="shared" si="1"/>
        <v>0</v>
      </c>
    </row>
    <row r="11" spans="1:9" ht="15.75">
      <c r="A11" s="28">
        <v>5</v>
      </c>
      <c r="B11" s="32" t="s">
        <v>157</v>
      </c>
      <c r="C11" s="212">
        <v>47908709.230000004</v>
      </c>
      <c r="D11" s="212">
        <v>0</v>
      </c>
      <c r="E11" s="213">
        <f t="shared" si="0"/>
        <v>47908709.230000004</v>
      </c>
      <c r="F11" s="214">
        <v>52158677.649999999</v>
      </c>
      <c r="G11" s="215">
        <v>0</v>
      </c>
      <c r="H11" s="216">
        <f t="shared" si="1"/>
        <v>52158677.649999999</v>
      </c>
    </row>
    <row r="12" spans="1:9" ht="15.75">
      <c r="A12" s="28">
        <v>6.1</v>
      </c>
      <c r="B12" s="33" t="s">
        <v>158</v>
      </c>
      <c r="C12" s="212">
        <v>1602490637.8500001</v>
      </c>
      <c r="D12" s="212">
        <v>190131556.22189999</v>
      </c>
      <c r="E12" s="213">
        <f t="shared" si="0"/>
        <v>1792622194.0719001</v>
      </c>
      <c r="F12" s="214">
        <v>1356607537.0600004</v>
      </c>
      <c r="G12" s="215">
        <v>136182461.31310001</v>
      </c>
      <c r="H12" s="216">
        <f t="shared" si="1"/>
        <v>1492789998.3731005</v>
      </c>
    </row>
    <row r="13" spans="1:9" ht="15.75">
      <c r="A13" s="28">
        <v>6.2</v>
      </c>
      <c r="B13" s="33" t="s">
        <v>159</v>
      </c>
      <c r="C13" s="212">
        <v>-54687256.800600007</v>
      </c>
      <c r="D13" s="212">
        <v>-4847824.8730000006</v>
      </c>
      <c r="E13" s="213">
        <f t="shared" si="0"/>
        <v>-59535081.673600011</v>
      </c>
      <c r="F13" s="214">
        <v>-54594295.840800002</v>
      </c>
      <c r="G13" s="215">
        <v>-9580976.8979000002</v>
      </c>
      <c r="H13" s="216">
        <f t="shared" si="1"/>
        <v>-64175272.738700002</v>
      </c>
    </row>
    <row r="14" spans="1:9" ht="15.75">
      <c r="A14" s="28">
        <v>6</v>
      </c>
      <c r="B14" s="32" t="s">
        <v>160</v>
      </c>
      <c r="C14" s="213">
        <f>C12+C13</f>
        <v>1547803381.0494001</v>
      </c>
      <c r="D14" s="213">
        <f>D12+D13</f>
        <v>185283731.34889999</v>
      </c>
      <c r="E14" s="213">
        <f t="shared" si="0"/>
        <v>1733087112.3983002</v>
      </c>
      <c r="F14" s="213">
        <f>F12+F13</f>
        <v>1302013241.2192004</v>
      </c>
      <c r="G14" s="213">
        <f>G12+G13</f>
        <v>126601484.41520001</v>
      </c>
      <c r="H14" s="216">
        <f t="shared" si="1"/>
        <v>1428614725.6344004</v>
      </c>
      <c r="I14" s="546"/>
    </row>
    <row r="15" spans="1:9" ht="15.75">
      <c r="A15" s="28">
        <v>7</v>
      </c>
      <c r="B15" s="32" t="s">
        <v>161</v>
      </c>
      <c r="C15" s="212">
        <v>24454752.66</v>
      </c>
      <c r="D15" s="212">
        <v>1788318.24</v>
      </c>
      <c r="E15" s="213">
        <f t="shared" si="0"/>
        <v>26243070.899999999</v>
      </c>
      <c r="F15" s="214">
        <v>24107899.889999993</v>
      </c>
      <c r="G15" s="215">
        <v>1353919.0999999996</v>
      </c>
      <c r="H15" s="216">
        <f t="shared" si="1"/>
        <v>25461818.989999995</v>
      </c>
    </row>
    <row r="16" spans="1:9" ht="15.75">
      <c r="A16" s="28">
        <v>8</v>
      </c>
      <c r="B16" s="32" t="s">
        <v>162</v>
      </c>
      <c r="C16" s="212">
        <v>2229828</v>
      </c>
      <c r="D16" s="212">
        <v>0</v>
      </c>
      <c r="E16" s="213">
        <f t="shared" si="0"/>
        <v>2229828</v>
      </c>
      <c r="F16" s="214">
        <v>1744358.73</v>
      </c>
      <c r="G16" s="215">
        <v>0</v>
      </c>
      <c r="H16" s="216">
        <f t="shared" si="1"/>
        <v>1744358.73</v>
      </c>
    </row>
    <row r="17" spans="1:8" ht="15.75">
      <c r="A17" s="28">
        <v>9</v>
      </c>
      <c r="B17" s="32" t="s">
        <v>163</v>
      </c>
      <c r="C17" s="212">
        <v>0</v>
      </c>
      <c r="D17" s="212">
        <v>0</v>
      </c>
      <c r="E17" s="213">
        <f t="shared" si="0"/>
        <v>0</v>
      </c>
      <c r="F17" s="214">
        <v>0</v>
      </c>
      <c r="G17" s="215">
        <v>0</v>
      </c>
      <c r="H17" s="216">
        <f t="shared" si="1"/>
        <v>0</v>
      </c>
    </row>
    <row r="18" spans="1:8" ht="15.75">
      <c r="A18" s="28">
        <v>10</v>
      </c>
      <c r="B18" s="32" t="s">
        <v>164</v>
      </c>
      <c r="C18" s="212">
        <v>49049196.390000001</v>
      </c>
      <c r="D18" s="212">
        <v>0</v>
      </c>
      <c r="E18" s="213">
        <f t="shared" si="0"/>
        <v>49049196.390000001</v>
      </c>
      <c r="F18" s="214">
        <v>36653888.449999996</v>
      </c>
      <c r="G18" s="215">
        <v>0</v>
      </c>
      <c r="H18" s="216">
        <f t="shared" si="1"/>
        <v>36653888.449999996</v>
      </c>
    </row>
    <row r="19" spans="1:8" ht="15.75">
      <c r="A19" s="28">
        <v>11</v>
      </c>
      <c r="B19" s="32" t="s">
        <v>165</v>
      </c>
      <c r="C19" s="212">
        <v>39320394.579999998</v>
      </c>
      <c r="D19" s="212">
        <v>7635302.919999999</v>
      </c>
      <c r="E19" s="213">
        <f t="shared" si="0"/>
        <v>46955697.5</v>
      </c>
      <c r="F19" s="214">
        <v>35744581.490000002</v>
      </c>
      <c r="G19" s="215">
        <v>3203220.7099999995</v>
      </c>
      <c r="H19" s="216">
        <f t="shared" si="1"/>
        <v>38947802.200000003</v>
      </c>
    </row>
    <row r="20" spans="1:8" ht="15.75">
      <c r="A20" s="28">
        <v>12</v>
      </c>
      <c r="B20" s="34" t="s">
        <v>166</v>
      </c>
      <c r="C20" s="213">
        <f>SUM(C7:C11)+SUM(C14:C19)</f>
        <v>1835552812.6494002</v>
      </c>
      <c r="D20" s="213">
        <f>SUM(D7:D11)+SUM(D14:D19)</f>
        <v>368470064.20889997</v>
      </c>
      <c r="E20" s="213">
        <f t="shared" si="0"/>
        <v>2204022876.8583002</v>
      </c>
      <c r="F20" s="213">
        <f>SUM(F7:F11)+SUM(F14:F19)</f>
        <v>1558377344.3992004</v>
      </c>
      <c r="G20" s="213">
        <f>SUM(G7:G11)+SUM(G14:G19)</f>
        <v>229461939.4752</v>
      </c>
      <c r="H20" s="216">
        <f t="shared" si="1"/>
        <v>1787839283.8744004</v>
      </c>
    </row>
    <row r="21" spans="1:8" ht="15.75">
      <c r="A21" s="28"/>
      <c r="B21" s="29" t="s">
        <v>183</v>
      </c>
      <c r="C21" s="217"/>
      <c r="D21" s="217"/>
      <c r="E21" s="217"/>
      <c r="F21" s="218"/>
      <c r="G21" s="219"/>
      <c r="H21" s="220"/>
    </row>
    <row r="22" spans="1:8" ht="15.75">
      <c r="A22" s="28">
        <v>13</v>
      </c>
      <c r="B22" s="32" t="s">
        <v>167</v>
      </c>
      <c r="C22" s="212">
        <v>0</v>
      </c>
      <c r="D22" s="212">
        <v>0</v>
      </c>
      <c r="E22" s="213">
        <f>C22+D22</f>
        <v>0</v>
      </c>
      <c r="F22" s="214">
        <v>0</v>
      </c>
      <c r="G22" s="215">
        <v>0</v>
      </c>
      <c r="H22" s="216">
        <f t="shared" si="1"/>
        <v>0</v>
      </c>
    </row>
    <row r="23" spans="1:8" ht="15.75">
      <c r="A23" s="28">
        <v>14</v>
      </c>
      <c r="B23" s="32" t="s">
        <v>168</v>
      </c>
      <c r="C23" s="212">
        <v>100012167.75149935</v>
      </c>
      <c r="D23" s="212">
        <v>81919189.141700163</v>
      </c>
      <c r="E23" s="213">
        <f t="shared" ref="E23:E40" si="2">C23+D23</f>
        <v>181931356.8931995</v>
      </c>
      <c r="F23" s="214">
        <v>71003260.319999993</v>
      </c>
      <c r="G23" s="215">
        <v>25082353.437599998</v>
      </c>
      <c r="H23" s="216">
        <f t="shared" si="1"/>
        <v>96085613.757599995</v>
      </c>
    </row>
    <row r="24" spans="1:8" ht="15.75">
      <c r="A24" s="28">
        <v>15</v>
      </c>
      <c r="B24" s="32" t="s">
        <v>169</v>
      </c>
      <c r="C24" s="212">
        <v>11085491.759999853</v>
      </c>
      <c r="D24" s="212">
        <v>32216238.780499987</v>
      </c>
      <c r="E24" s="213">
        <f t="shared" si="2"/>
        <v>43301730.540499836</v>
      </c>
      <c r="F24" s="214">
        <v>11825672.313000001</v>
      </c>
      <c r="G24" s="215">
        <v>17397148.2951</v>
      </c>
      <c r="H24" s="216">
        <f t="shared" si="1"/>
        <v>29222820.608100001</v>
      </c>
    </row>
    <row r="25" spans="1:8" ht="15.75">
      <c r="A25" s="28">
        <v>16</v>
      </c>
      <c r="B25" s="32" t="s">
        <v>170</v>
      </c>
      <c r="C25" s="212">
        <v>343087665.15999955</v>
      </c>
      <c r="D25" s="212">
        <v>100041499.45199986</v>
      </c>
      <c r="E25" s="213">
        <f t="shared" si="2"/>
        <v>443129164.61199939</v>
      </c>
      <c r="F25" s="214">
        <v>265378852.94</v>
      </c>
      <c r="G25" s="215">
        <v>52168277.877099998</v>
      </c>
      <c r="H25" s="216">
        <f t="shared" si="1"/>
        <v>317547130.81709999</v>
      </c>
    </row>
    <row r="26" spans="1:8" ht="15.75">
      <c r="A26" s="28">
        <v>17</v>
      </c>
      <c r="B26" s="32" t="s">
        <v>171</v>
      </c>
      <c r="C26" s="217"/>
      <c r="D26" s="217"/>
      <c r="E26" s="213">
        <f t="shared" si="2"/>
        <v>0</v>
      </c>
      <c r="F26" s="218"/>
      <c r="G26" s="219"/>
      <c r="H26" s="216">
        <f t="shared" si="1"/>
        <v>0</v>
      </c>
    </row>
    <row r="27" spans="1:8" ht="15.75">
      <c r="A27" s="28">
        <v>18</v>
      </c>
      <c r="B27" s="32" t="s">
        <v>172</v>
      </c>
      <c r="C27" s="212">
        <v>795626252.92444444</v>
      </c>
      <c r="D27" s="212">
        <v>291997613.33946931</v>
      </c>
      <c r="E27" s="213">
        <f t="shared" si="2"/>
        <v>1087623866.2639136</v>
      </c>
      <c r="F27" s="214">
        <v>820961937.93476188</v>
      </c>
      <c r="G27" s="215">
        <v>134319269.98864001</v>
      </c>
      <c r="H27" s="216">
        <f t="shared" si="1"/>
        <v>955281207.92340183</v>
      </c>
    </row>
    <row r="28" spans="1:8" ht="15.75">
      <c r="A28" s="28">
        <v>19</v>
      </c>
      <c r="B28" s="32" t="s">
        <v>173</v>
      </c>
      <c r="C28" s="212">
        <v>25819354.390000001</v>
      </c>
      <c r="D28" s="212">
        <v>2968497.4699999997</v>
      </c>
      <c r="E28" s="213">
        <f t="shared" si="2"/>
        <v>28787851.859999999</v>
      </c>
      <c r="F28" s="214">
        <v>24799955.800000001</v>
      </c>
      <c r="G28" s="215">
        <v>1230465.23</v>
      </c>
      <c r="H28" s="216">
        <f t="shared" si="1"/>
        <v>26030421.030000001</v>
      </c>
    </row>
    <row r="29" spans="1:8" ht="15.75">
      <c r="A29" s="28">
        <v>20</v>
      </c>
      <c r="B29" s="32" t="s">
        <v>95</v>
      </c>
      <c r="C29" s="212">
        <v>91891736.280000001</v>
      </c>
      <c r="D29" s="212">
        <v>13229499.619999999</v>
      </c>
      <c r="E29" s="213">
        <f t="shared" si="2"/>
        <v>105121235.90000001</v>
      </c>
      <c r="F29" s="214">
        <v>75778261.270000011</v>
      </c>
      <c r="G29" s="215">
        <v>5983806.120000001</v>
      </c>
      <c r="H29" s="216">
        <f t="shared" si="1"/>
        <v>81762067.390000015</v>
      </c>
    </row>
    <row r="30" spans="1:8" ht="15.75">
      <c r="A30" s="28">
        <v>21</v>
      </c>
      <c r="B30" s="32" t="s">
        <v>174</v>
      </c>
      <c r="C30" s="212">
        <v>61847730</v>
      </c>
      <c r="D30" s="212">
        <v>22163200</v>
      </c>
      <c r="E30" s="213">
        <f t="shared" si="2"/>
        <v>84010930</v>
      </c>
      <c r="F30" s="214">
        <v>61847730</v>
      </c>
      <c r="G30" s="215">
        <v>15488000</v>
      </c>
      <c r="H30" s="216">
        <f t="shared" si="1"/>
        <v>77335730</v>
      </c>
    </row>
    <row r="31" spans="1:8" ht="15.75">
      <c r="A31" s="28">
        <v>22</v>
      </c>
      <c r="B31" s="34" t="s">
        <v>175</v>
      </c>
      <c r="C31" s="213">
        <f>SUM(C22:C30)</f>
        <v>1429370398.2659433</v>
      </c>
      <c r="D31" s="213">
        <f>SUM(D22:D30)</f>
        <v>544535737.80366933</v>
      </c>
      <c r="E31" s="213">
        <f>C31+D31</f>
        <v>1973906136.0696125</v>
      </c>
      <c r="F31" s="213">
        <f>SUM(F22:F30)</f>
        <v>1331595670.5777619</v>
      </c>
      <c r="G31" s="213">
        <f>SUM(G22:G30)</f>
        <v>251669320.94843999</v>
      </c>
      <c r="H31" s="216">
        <f t="shared" si="1"/>
        <v>1583264991.526202</v>
      </c>
    </row>
    <row r="32" spans="1:8" ht="15.75">
      <c r="A32" s="28"/>
      <c r="B32" s="29" t="s">
        <v>184</v>
      </c>
      <c r="C32" s="217"/>
      <c r="D32" s="217"/>
      <c r="E32" s="212"/>
      <c r="F32" s="218"/>
      <c r="G32" s="219"/>
      <c r="H32" s="220"/>
    </row>
    <row r="33" spans="1:9" ht="15.75">
      <c r="A33" s="28">
        <v>23</v>
      </c>
      <c r="B33" s="32" t="s">
        <v>176</v>
      </c>
      <c r="C33" s="212">
        <v>5186820</v>
      </c>
      <c r="D33" s="217"/>
      <c r="E33" s="213">
        <f t="shared" si="2"/>
        <v>5186820</v>
      </c>
      <c r="F33" s="214">
        <v>5176780</v>
      </c>
      <c r="G33" s="219"/>
      <c r="H33" s="216">
        <f t="shared" si="1"/>
        <v>5176780</v>
      </c>
    </row>
    <row r="34" spans="1:9" ht="15.75">
      <c r="A34" s="28">
        <v>24</v>
      </c>
      <c r="B34" s="32" t="s">
        <v>177</v>
      </c>
      <c r="C34" s="212">
        <v>0</v>
      </c>
      <c r="D34" s="217"/>
      <c r="E34" s="213">
        <f t="shared" si="2"/>
        <v>0</v>
      </c>
      <c r="F34" s="214">
        <v>0</v>
      </c>
      <c r="G34" s="219"/>
      <c r="H34" s="216">
        <f t="shared" si="1"/>
        <v>0</v>
      </c>
    </row>
    <row r="35" spans="1:9" ht="15.75">
      <c r="A35" s="28">
        <v>25</v>
      </c>
      <c r="B35" s="33" t="s">
        <v>178</v>
      </c>
      <c r="C35" s="212">
        <v>0</v>
      </c>
      <c r="D35" s="217"/>
      <c r="E35" s="213">
        <f t="shared" si="2"/>
        <v>0</v>
      </c>
      <c r="F35" s="214">
        <v>0</v>
      </c>
      <c r="G35" s="219"/>
      <c r="H35" s="216">
        <f t="shared" si="1"/>
        <v>0</v>
      </c>
    </row>
    <row r="36" spans="1:9" ht="15.75">
      <c r="A36" s="28">
        <v>26</v>
      </c>
      <c r="B36" s="32" t="s">
        <v>179</v>
      </c>
      <c r="C36" s="212">
        <v>35681935.400000006</v>
      </c>
      <c r="D36" s="217"/>
      <c r="E36" s="213">
        <f t="shared" si="2"/>
        <v>35681935.400000006</v>
      </c>
      <c r="F36" s="214">
        <v>35312039.400000006</v>
      </c>
      <c r="G36" s="219"/>
      <c r="H36" s="216">
        <f t="shared" si="1"/>
        <v>35312039.400000006</v>
      </c>
    </row>
    <row r="37" spans="1:9" ht="15.75">
      <c r="A37" s="28">
        <v>27</v>
      </c>
      <c r="B37" s="32" t="s">
        <v>180</v>
      </c>
      <c r="C37" s="212">
        <v>0</v>
      </c>
      <c r="D37" s="217"/>
      <c r="E37" s="213">
        <f t="shared" si="2"/>
        <v>0</v>
      </c>
      <c r="F37" s="214">
        <v>0</v>
      </c>
      <c r="G37" s="219"/>
      <c r="H37" s="216">
        <f t="shared" si="1"/>
        <v>0</v>
      </c>
    </row>
    <row r="38" spans="1:9" ht="15.75">
      <c r="A38" s="28">
        <v>28</v>
      </c>
      <c r="B38" s="32" t="s">
        <v>181</v>
      </c>
      <c r="C38" s="212">
        <v>188851526.11999974</v>
      </c>
      <c r="D38" s="217"/>
      <c r="E38" s="213">
        <f t="shared" si="2"/>
        <v>188851526.11999974</v>
      </c>
      <c r="F38" s="214">
        <v>163689014.45999995</v>
      </c>
      <c r="G38" s="219"/>
      <c r="H38" s="216">
        <f t="shared" si="1"/>
        <v>163689014.45999995</v>
      </c>
    </row>
    <row r="39" spans="1:9" ht="15.75">
      <c r="A39" s="28">
        <v>29</v>
      </c>
      <c r="B39" s="32" t="s">
        <v>196</v>
      </c>
      <c r="C39" s="212">
        <v>396459</v>
      </c>
      <c r="D39" s="217"/>
      <c r="E39" s="213">
        <f t="shared" si="2"/>
        <v>396459</v>
      </c>
      <c r="F39" s="214">
        <v>396459</v>
      </c>
      <c r="G39" s="219"/>
      <c r="H39" s="216">
        <f t="shared" si="1"/>
        <v>396459</v>
      </c>
    </row>
    <row r="40" spans="1:9" ht="15.75">
      <c r="A40" s="28">
        <v>30</v>
      </c>
      <c r="B40" s="34" t="s">
        <v>182</v>
      </c>
      <c r="C40" s="212">
        <f>SUM(C33:C39)</f>
        <v>230116740.51999974</v>
      </c>
      <c r="D40" s="217"/>
      <c r="E40" s="213">
        <f t="shared" si="2"/>
        <v>230116740.51999974</v>
      </c>
      <c r="F40" s="212">
        <f>SUM(F33:F39)</f>
        <v>204574292.85999995</v>
      </c>
      <c r="G40" s="219"/>
      <c r="H40" s="216">
        <f t="shared" si="1"/>
        <v>204574292.85999995</v>
      </c>
      <c r="I40" s="546"/>
    </row>
    <row r="41" spans="1:9" ht="16.5" thickBot="1">
      <c r="A41" s="35">
        <v>31</v>
      </c>
      <c r="B41" s="36" t="s">
        <v>197</v>
      </c>
      <c r="C41" s="221">
        <f>C31+C40</f>
        <v>1659487138.785943</v>
      </c>
      <c r="D41" s="221">
        <f>D31+D40</f>
        <v>544535737.80366933</v>
      </c>
      <c r="E41" s="221">
        <f>C41+D41</f>
        <v>2204022876.5896125</v>
      </c>
      <c r="F41" s="221">
        <f>F31+F40</f>
        <v>1536169963.4377618</v>
      </c>
      <c r="G41" s="221">
        <f>G31+G40</f>
        <v>251669320.94843999</v>
      </c>
      <c r="H41" s="222">
        <f>F41+G41</f>
        <v>1787839284.3862019</v>
      </c>
    </row>
    <row r="43" spans="1:9">
      <c r="B43" s="37"/>
    </row>
  </sheetData>
  <mergeCells count="2">
    <mergeCell ref="C5:E5"/>
    <mergeCell ref="F5:H5"/>
  </mergeCells>
  <dataValidations disablePrompts="1"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ignoredErrors>
    <ignoredError sqref="F20:G20 C20:D20" formulaRange="1"/>
    <ignoredError sqref="E20 E31 E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
  <sheetViews>
    <sheetView workbookViewId="0">
      <pane xSplit="1" ySplit="6" topLeftCell="B58" activePane="bottomRight" state="frozen"/>
      <selection pane="topRight" activeCell="B1" sqref="B1"/>
      <selection pane="bottomLeft" activeCell="A6" sqref="A6"/>
      <selection pane="bottomRight" activeCell="C64" sqref="C64"/>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9"/>
  </cols>
  <sheetData>
    <row r="1" spans="1:8" ht="15.75">
      <c r="A1" s="13" t="s">
        <v>188</v>
      </c>
      <c r="B1" s="12" t="str">
        <f>Info!C2</f>
        <v>სს "კრედო ბანკი"</v>
      </c>
      <c r="C1" s="12"/>
    </row>
    <row r="2" spans="1:8" ht="15.75">
      <c r="A2" s="13" t="s">
        <v>189</v>
      </c>
      <c r="B2" s="434">
        <f>'1. key ratios'!B2</f>
        <v>44926</v>
      </c>
      <c r="C2" s="12"/>
    </row>
    <row r="3" spans="1:8" ht="15.75">
      <c r="A3" s="13"/>
      <c r="B3" s="12"/>
      <c r="C3" s="12"/>
    </row>
    <row r="4" spans="1:8" ht="16.5" thickBot="1">
      <c r="A4" s="14" t="s">
        <v>329</v>
      </c>
      <c r="B4" s="22" t="s">
        <v>222</v>
      </c>
      <c r="C4" s="24"/>
      <c r="D4" s="24"/>
      <c r="E4" s="24"/>
      <c r="F4" s="14"/>
      <c r="G4" s="14"/>
      <c r="H4" s="38" t="s">
        <v>93</v>
      </c>
    </row>
    <row r="5" spans="1:8" ht="15.75">
      <c r="A5" s="109"/>
      <c r="B5" s="110"/>
      <c r="C5" s="654" t="s">
        <v>194</v>
      </c>
      <c r="D5" s="655"/>
      <c r="E5" s="656"/>
      <c r="F5" s="654" t="s">
        <v>195</v>
      </c>
      <c r="G5" s="655"/>
      <c r="H5" s="657"/>
    </row>
    <row r="6" spans="1:8">
      <c r="A6" s="111" t="s">
        <v>26</v>
      </c>
      <c r="B6" s="39"/>
      <c r="C6" s="40" t="s">
        <v>27</v>
      </c>
      <c r="D6" s="40" t="s">
        <v>96</v>
      </c>
      <c r="E6" s="40" t="s">
        <v>68</v>
      </c>
      <c r="F6" s="40" t="s">
        <v>27</v>
      </c>
      <c r="G6" s="40" t="s">
        <v>96</v>
      </c>
      <c r="H6" s="112" t="s">
        <v>68</v>
      </c>
    </row>
    <row r="7" spans="1:8">
      <c r="A7" s="113"/>
      <c r="B7" s="42" t="s">
        <v>92</v>
      </c>
      <c r="C7" s="43"/>
      <c r="D7" s="43"/>
      <c r="E7" s="43"/>
      <c r="F7" s="43"/>
      <c r="G7" s="43"/>
      <c r="H7" s="114"/>
    </row>
    <row r="8" spans="1:8" ht="15.75">
      <c r="A8" s="113">
        <v>1</v>
      </c>
      <c r="B8" s="44" t="s">
        <v>97</v>
      </c>
      <c r="C8" s="223">
        <v>7803236.8800000008</v>
      </c>
      <c r="D8" s="223">
        <v>136548.49000000002</v>
      </c>
      <c r="E8" s="213">
        <f>C8+D8</f>
        <v>7939785.370000001</v>
      </c>
      <c r="F8" s="223">
        <v>6231953.9699999997</v>
      </c>
      <c r="G8" s="223">
        <v>-267388.40999999997</v>
      </c>
      <c r="H8" s="224">
        <f>F8+G8</f>
        <v>5964565.5599999996</v>
      </c>
    </row>
    <row r="9" spans="1:8" ht="15.75">
      <c r="A9" s="113">
        <v>2</v>
      </c>
      <c r="B9" s="44" t="s">
        <v>98</v>
      </c>
      <c r="C9" s="225">
        <f>SUM(C10:C18)</f>
        <v>295743497.91000003</v>
      </c>
      <c r="D9" s="225">
        <f>SUM(D10:D18)</f>
        <v>10476772.18</v>
      </c>
      <c r="E9" s="213">
        <f t="shared" ref="E9:E67" si="0">C9+D9</f>
        <v>306220270.09000003</v>
      </c>
      <c r="F9" s="225">
        <f>SUM(F10:F18)</f>
        <v>239953715.94999999</v>
      </c>
      <c r="G9" s="225">
        <f>SUM(G10:G18)</f>
        <v>7623007.2699999996</v>
      </c>
      <c r="H9" s="224">
        <f t="shared" ref="H9:H67" si="1">F9+G9</f>
        <v>247576723.22</v>
      </c>
    </row>
    <row r="10" spans="1:8" ht="15.75">
      <c r="A10" s="113">
        <v>2.1</v>
      </c>
      <c r="B10" s="45" t="s">
        <v>99</v>
      </c>
      <c r="C10" s="223">
        <v>0</v>
      </c>
      <c r="D10" s="223">
        <v>0</v>
      </c>
      <c r="E10" s="213">
        <f t="shared" si="0"/>
        <v>0</v>
      </c>
      <c r="F10" s="223">
        <v>0</v>
      </c>
      <c r="G10" s="223">
        <v>0</v>
      </c>
      <c r="H10" s="224">
        <f t="shared" si="1"/>
        <v>0</v>
      </c>
    </row>
    <row r="11" spans="1:8" ht="15.75">
      <c r="A11" s="113">
        <v>2.2000000000000002</v>
      </c>
      <c r="B11" s="45" t="s">
        <v>100</v>
      </c>
      <c r="C11" s="223">
        <v>1458264.26</v>
      </c>
      <c r="D11" s="223">
        <v>2003604.64</v>
      </c>
      <c r="E11" s="213">
        <f t="shared" si="0"/>
        <v>3461868.9</v>
      </c>
      <c r="F11" s="223">
        <v>1331703.3799999999</v>
      </c>
      <c r="G11" s="223">
        <v>1419178.69</v>
      </c>
      <c r="H11" s="224">
        <f t="shared" si="1"/>
        <v>2750882.07</v>
      </c>
    </row>
    <row r="12" spans="1:8" ht="15.75">
      <c r="A12" s="113">
        <v>2.2999999999999998</v>
      </c>
      <c r="B12" s="45" t="s">
        <v>101</v>
      </c>
      <c r="C12" s="223">
        <v>0</v>
      </c>
      <c r="D12" s="223">
        <v>0</v>
      </c>
      <c r="E12" s="213">
        <f t="shared" si="0"/>
        <v>0</v>
      </c>
      <c r="F12" s="223">
        <v>0</v>
      </c>
      <c r="G12" s="223">
        <v>0</v>
      </c>
      <c r="H12" s="224">
        <f t="shared" si="1"/>
        <v>0</v>
      </c>
    </row>
    <row r="13" spans="1:8" ht="15.75">
      <c r="A13" s="113">
        <v>2.4</v>
      </c>
      <c r="B13" s="45" t="s">
        <v>102</v>
      </c>
      <c r="C13" s="223">
        <v>469303.23</v>
      </c>
      <c r="D13" s="223">
        <v>30065.29</v>
      </c>
      <c r="E13" s="213">
        <f t="shared" si="0"/>
        <v>499368.51999999996</v>
      </c>
      <c r="F13" s="223">
        <v>146973.73000000001</v>
      </c>
      <c r="G13" s="223">
        <v>23078.52</v>
      </c>
      <c r="H13" s="224">
        <f t="shared" si="1"/>
        <v>170052.25</v>
      </c>
    </row>
    <row r="14" spans="1:8" ht="15.75">
      <c r="A14" s="113">
        <v>2.5</v>
      </c>
      <c r="B14" s="45" t="s">
        <v>103</v>
      </c>
      <c r="C14" s="223">
        <v>113204.93</v>
      </c>
      <c r="D14" s="223">
        <v>609195.13</v>
      </c>
      <c r="E14" s="213">
        <f t="shared" si="0"/>
        <v>722400.06</v>
      </c>
      <c r="F14" s="223">
        <v>90944.89</v>
      </c>
      <c r="G14" s="223">
        <v>201941.08</v>
      </c>
      <c r="H14" s="224">
        <f t="shared" si="1"/>
        <v>292885.96999999997</v>
      </c>
    </row>
    <row r="15" spans="1:8" ht="15.75">
      <c r="A15" s="113">
        <v>2.6</v>
      </c>
      <c r="B15" s="45" t="s">
        <v>104</v>
      </c>
      <c r="C15" s="223">
        <v>307085.19</v>
      </c>
      <c r="D15" s="223">
        <v>595995.11</v>
      </c>
      <c r="E15" s="213">
        <f t="shared" si="0"/>
        <v>903080.3</v>
      </c>
      <c r="F15" s="223">
        <v>311829.27</v>
      </c>
      <c r="G15" s="223">
        <v>196841.43</v>
      </c>
      <c r="H15" s="224">
        <f t="shared" si="1"/>
        <v>508670.7</v>
      </c>
    </row>
    <row r="16" spans="1:8" ht="15.75">
      <c r="A16" s="113">
        <v>2.7</v>
      </c>
      <c r="B16" s="45" t="s">
        <v>105</v>
      </c>
      <c r="C16" s="223">
        <v>138044.71</v>
      </c>
      <c r="D16" s="223">
        <v>158473.60999999999</v>
      </c>
      <c r="E16" s="213">
        <f t="shared" si="0"/>
        <v>296518.31999999995</v>
      </c>
      <c r="F16" s="223">
        <v>98871.52</v>
      </c>
      <c r="G16" s="223">
        <v>131804.10999999999</v>
      </c>
      <c r="H16" s="224">
        <f t="shared" si="1"/>
        <v>230675.63</v>
      </c>
    </row>
    <row r="17" spans="1:8" ht="15.75">
      <c r="A17" s="113">
        <v>2.8</v>
      </c>
      <c r="B17" s="45" t="s">
        <v>106</v>
      </c>
      <c r="C17" s="223">
        <v>293095165.96000004</v>
      </c>
      <c r="D17" s="223">
        <v>6962253.5199999996</v>
      </c>
      <c r="E17" s="213">
        <f t="shared" si="0"/>
        <v>300057419.48000002</v>
      </c>
      <c r="F17" s="223">
        <v>237874778.06999999</v>
      </c>
      <c r="G17" s="223">
        <v>5637903.0399999991</v>
      </c>
      <c r="H17" s="224">
        <f t="shared" si="1"/>
        <v>243512681.10999998</v>
      </c>
    </row>
    <row r="18" spans="1:8" ht="15.75">
      <c r="A18" s="113">
        <v>2.9</v>
      </c>
      <c r="B18" s="45" t="s">
        <v>107</v>
      </c>
      <c r="C18" s="223">
        <v>162429.63</v>
      </c>
      <c r="D18" s="223">
        <v>117184.87999999999</v>
      </c>
      <c r="E18" s="213">
        <f t="shared" si="0"/>
        <v>279614.51</v>
      </c>
      <c r="F18" s="223">
        <v>98615.090000000011</v>
      </c>
      <c r="G18" s="223">
        <v>12260.400000000001</v>
      </c>
      <c r="H18" s="224">
        <f t="shared" si="1"/>
        <v>110875.49000000002</v>
      </c>
    </row>
    <row r="19" spans="1:8" ht="15.75">
      <c r="A19" s="113">
        <v>3</v>
      </c>
      <c r="B19" s="44" t="s">
        <v>108</v>
      </c>
      <c r="C19" s="223">
        <v>17942237.859999996</v>
      </c>
      <c r="D19" s="223">
        <v>328305.24</v>
      </c>
      <c r="E19" s="213">
        <f t="shared" si="0"/>
        <v>18270543.099999994</v>
      </c>
      <c r="F19" s="223">
        <v>15560506.049999999</v>
      </c>
      <c r="G19" s="223">
        <v>196214.37000000002</v>
      </c>
      <c r="H19" s="224">
        <f t="shared" si="1"/>
        <v>15756720.419999998</v>
      </c>
    </row>
    <row r="20" spans="1:8" ht="15.75">
      <c r="A20" s="113">
        <v>4</v>
      </c>
      <c r="B20" s="44" t="s">
        <v>109</v>
      </c>
      <c r="C20" s="223">
        <v>4771641.5600000005</v>
      </c>
      <c r="D20" s="223">
        <v>0</v>
      </c>
      <c r="E20" s="213">
        <f t="shared" si="0"/>
        <v>4771641.5600000005</v>
      </c>
      <c r="F20" s="223">
        <v>4659452.3</v>
      </c>
      <c r="G20" s="223">
        <v>0</v>
      </c>
      <c r="H20" s="224">
        <f t="shared" si="1"/>
        <v>4659452.3</v>
      </c>
    </row>
    <row r="21" spans="1:8" ht="15.75">
      <c r="A21" s="113">
        <v>5</v>
      </c>
      <c r="B21" s="44" t="s">
        <v>110</v>
      </c>
      <c r="C21" s="223">
        <v>0</v>
      </c>
      <c r="D21" s="223">
        <v>0</v>
      </c>
      <c r="E21" s="213">
        <f t="shared" si="0"/>
        <v>0</v>
      </c>
      <c r="F21" s="223">
        <v>0</v>
      </c>
      <c r="G21" s="223">
        <v>0</v>
      </c>
      <c r="H21" s="224">
        <f>F21+G21</f>
        <v>0</v>
      </c>
    </row>
    <row r="22" spans="1:8" ht="15.75">
      <c r="A22" s="113">
        <v>6</v>
      </c>
      <c r="B22" s="46" t="s">
        <v>111</v>
      </c>
      <c r="C22" s="225">
        <f>C8+C9+C19+C20+C21</f>
        <v>326260614.21000004</v>
      </c>
      <c r="D22" s="225">
        <f>D8+D9+D19+D20+D21</f>
        <v>10941625.91</v>
      </c>
      <c r="E22" s="213">
        <f>C22+D22</f>
        <v>337202240.12000006</v>
      </c>
      <c r="F22" s="225">
        <f>F8+F9+F19+F20+F21</f>
        <v>266405628.27000001</v>
      </c>
      <c r="G22" s="225">
        <f>G8+G9+G19+G20+G21</f>
        <v>7551833.2299999995</v>
      </c>
      <c r="H22" s="224">
        <f>F22+G22</f>
        <v>273957461.5</v>
      </c>
    </row>
    <row r="23" spans="1:8" ht="15.75">
      <c r="A23" s="113"/>
      <c r="B23" s="42" t="s">
        <v>90</v>
      </c>
      <c r="C23" s="223"/>
      <c r="D23" s="223"/>
      <c r="E23" s="212"/>
      <c r="F23" s="223"/>
      <c r="G23" s="223"/>
      <c r="H23" s="226"/>
    </row>
    <row r="24" spans="1:8" ht="15.75">
      <c r="A24" s="113">
        <v>7</v>
      </c>
      <c r="B24" s="44" t="s">
        <v>112</v>
      </c>
      <c r="C24" s="223">
        <v>2624661.35</v>
      </c>
      <c r="D24" s="223">
        <v>64297.32</v>
      </c>
      <c r="E24" s="213">
        <f t="shared" si="0"/>
        <v>2688958.67</v>
      </c>
      <c r="F24" s="223">
        <v>1376345.6</v>
      </c>
      <c r="G24" s="223">
        <v>37489.299999999996</v>
      </c>
      <c r="H24" s="224">
        <f t="shared" si="1"/>
        <v>1413834.9000000001</v>
      </c>
    </row>
    <row r="25" spans="1:8" ht="15.75">
      <c r="A25" s="113">
        <v>8</v>
      </c>
      <c r="B25" s="44" t="s">
        <v>113</v>
      </c>
      <c r="C25" s="223">
        <v>36245478.93</v>
      </c>
      <c r="D25" s="223">
        <v>969390.28</v>
      </c>
      <c r="E25" s="213">
        <f t="shared" si="0"/>
        <v>37214869.210000001</v>
      </c>
      <c r="F25" s="223">
        <v>16905418.879999999</v>
      </c>
      <c r="G25" s="223">
        <v>379568.12</v>
      </c>
      <c r="H25" s="224">
        <f t="shared" si="1"/>
        <v>17284987</v>
      </c>
    </row>
    <row r="26" spans="1:8" ht="15.75">
      <c r="A26" s="113">
        <v>9</v>
      </c>
      <c r="B26" s="44" t="s">
        <v>114</v>
      </c>
      <c r="C26" s="223">
        <v>37895.879999999997</v>
      </c>
      <c r="D26" s="223">
        <v>22262.89</v>
      </c>
      <c r="E26" s="213">
        <f t="shared" si="0"/>
        <v>60158.77</v>
      </c>
      <c r="F26" s="223">
        <v>613643.84</v>
      </c>
      <c r="G26" s="223">
        <v>3524.9</v>
      </c>
      <c r="H26" s="224">
        <f t="shared" si="1"/>
        <v>617168.74</v>
      </c>
    </row>
    <row r="27" spans="1:8" ht="15.75">
      <c r="A27" s="113">
        <v>10</v>
      </c>
      <c r="B27" s="44" t="s">
        <v>115</v>
      </c>
      <c r="C27" s="223">
        <v>0</v>
      </c>
      <c r="D27" s="223">
        <v>0</v>
      </c>
      <c r="E27" s="213">
        <f t="shared" si="0"/>
        <v>0</v>
      </c>
      <c r="F27" s="223">
        <v>0</v>
      </c>
      <c r="G27" s="223">
        <v>0</v>
      </c>
      <c r="H27" s="224">
        <f t="shared" si="1"/>
        <v>0</v>
      </c>
    </row>
    <row r="28" spans="1:8" ht="15.75">
      <c r="A28" s="113">
        <v>11</v>
      </c>
      <c r="B28" s="44" t="s">
        <v>116</v>
      </c>
      <c r="C28" s="223">
        <v>132632080.71000001</v>
      </c>
      <c r="D28" s="223">
        <v>9401209.3499999996</v>
      </c>
      <c r="E28" s="213">
        <f t="shared" si="0"/>
        <v>142033290.06</v>
      </c>
      <c r="F28" s="223">
        <v>111778243.34</v>
      </c>
      <c r="G28" s="223">
        <v>9297176.3600000013</v>
      </c>
      <c r="H28" s="224">
        <f t="shared" si="1"/>
        <v>121075419.7</v>
      </c>
    </row>
    <row r="29" spans="1:8" ht="15.75">
      <c r="A29" s="113">
        <v>12</v>
      </c>
      <c r="B29" s="44" t="s">
        <v>117</v>
      </c>
      <c r="C29" s="223">
        <v>0</v>
      </c>
      <c r="D29" s="223">
        <v>0</v>
      </c>
      <c r="E29" s="213">
        <f t="shared" si="0"/>
        <v>0</v>
      </c>
      <c r="F29" s="223">
        <v>0</v>
      </c>
      <c r="G29" s="223">
        <v>0</v>
      </c>
      <c r="H29" s="224">
        <f t="shared" si="1"/>
        <v>0</v>
      </c>
    </row>
    <row r="30" spans="1:8" ht="15.75">
      <c r="A30" s="113">
        <v>13</v>
      </c>
      <c r="B30" s="47" t="s">
        <v>118</v>
      </c>
      <c r="C30" s="225">
        <f>SUM(C24:C29)</f>
        <v>171540116.87</v>
      </c>
      <c r="D30" s="225">
        <f>SUM(D24:D29)</f>
        <v>10457159.84</v>
      </c>
      <c r="E30" s="213">
        <f t="shared" si="0"/>
        <v>181997276.71000001</v>
      </c>
      <c r="F30" s="225">
        <f>SUM(F24:F29)</f>
        <v>130673651.66</v>
      </c>
      <c r="G30" s="225">
        <f>SUM(G24:G29)</f>
        <v>9717758.6800000016</v>
      </c>
      <c r="H30" s="224">
        <f t="shared" si="1"/>
        <v>140391410.34</v>
      </c>
    </row>
    <row r="31" spans="1:8" ht="15.75">
      <c r="A31" s="113">
        <v>14</v>
      </c>
      <c r="B31" s="47" t="s">
        <v>119</v>
      </c>
      <c r="C31" s="225">
        <f>C22-C30</f>
        <v>154720497.34000003</v>
      </c>
      <c r="D31" s="225">
        <f>D22-D30</f>
        <v>484466.0700000003</v>
      </c>
      <c r="E31" s="213">
        <f t="shared" si="0"/>
        <v>155204963.41000003</v>
      </c>
      <c r="F31" s="225">
        <f>F22-F30</f>
        <v>135731976.61000001</v>
      </c>
      <c r="G31" s="225">
        <f>G22-G30</f>
        <v>-2165925.450000002</v>
      </c>
      <c r="H31" s="224">
        <f t="shared" si="1"/>
        <v>133566051.16000001</v>
      </c>
    </row>
    <row r="32" spans="1:8">
      <c r="A32" s="113"/>
      <c r="B32" s="42"/>
      <c r="C32" s="227"/>
      <c r="D32" s="227"/>
      <c r="E32" s="227"/>
      <c r="F32" s="227"/>
      <c r="G32" s="227"/>
      <c r="H32" s="228"/>
    </row>
    <row r="33" spans="1:8" ht="15.75">
      <c r="A33" s="113"/>
      <c r="B33" s="42" t="s">
        <v>120</v>
      </c>
      <c r="C33" s="223"/>
      <c r="D33" s="223"/>
      <c r="E33" s="212"/>
      <c r="F33" s="223"/>
      <c r="G33" s="223"/>
      <c r="H33" s="226"/>
    </row>
    <row r="34" spans="1:8" ht="15.75">
      <c r="A34" s="113">
        <v>15</v>
      </c>
      <c r="B34" s="41" t="s">
        <v>91</v>
      </c>
      <c r="C34" s="225">
        <f>C35-C36</f>
        <v>74640023.13000001</v>
      </c>
      <c r="D34" s="225">
        <f>D35-D36</f>
        <v>-205539.55000000168</v>
      </c>
      <c r="E34" s="213">
        <f t="shared" si="0"/>
        <v>74434483.580000013</v>
      </c>
      <c r="F34" s="225">
        <f>F35-F36</f>
        <v>70865899.439999983</v>
      </c>
      <c r="G34" s="225">
        <f>G35-G36</f>
        <v>-1435289.9899999993</v>
      </c>
      <c r="H34" s="224">
        <f t="shared" si="1"/>
        <v>69430609.449999988</v>
      </c>
    </row>
    <row r="35" spans="1:8" ht="15.75">
      <c r="A35" s="113">
        <v>15.1</v>
      </c>
      <c r="B35" s="45" t="s">
        <v>121</v>
      </c>
      <c r="C35" s="223">
        <v>90268910.370000005</v>
      </c>
      <c r="D35" s="223">
        <v>5087337.9899999984</v>
      </c>
      <c r="E35" s="213">
        <f t="shared" si="0"/>
        <v>95356248.359999999</v>
      </c>
      <c r="F35" s="223">
        <v>82040364.959999979</v>
      </c>
      <c r="G35" s="223">
        <v>2236813.5700000003</v>
      </c>
      <c r="H35" s="224">
        <f t="shared" si="1"/>
        <v>84277178.529999971</v>
      </c>
    </row>
    <row r="36" spans="1:8" ht="15.75">
      <c r="A36" s="113">
        <v>15.2</v>
      </c>
      <c r="B36" s="45" t="s">
        <v>122</v>
      </c>
      <c r="C36" s="223">
        <v>15628887.239999998</v>
      </c>
      <c r="D36" s="223">
        <v>5292877.54</v>
      </c>
      <c r="E36" s="213">
        <f t="shared" si="0"/>
        <v>20921764.779999997</v>
      </c>
      <c r="F36" s="223">
        <v>11174465.52</v>
      </c>
      <c r="G36" s="223">
        <v>3672103.5599999996</v>
      </c>
      <c r="H36" s="224">
        <f t="shared" si="1"/>
        <v>14846569.079999998</v>
      </c>
    </row>
    <row r="37" spans="1:8" ht="15.75">
      <c r="A37" s="113">
        <v>16</v>
      </c>
      <c r="B37" s="44" t="s">
        <v>123</v>
      </c>
      <c r="C37" s="223">
        <v>0</v>
      </c>
      <c r="D37" s="223">
        <v>0</v>
      </c>
      <c r="E37" s="213">
        <f t="shared" si="0"/>
        <v>0</v>
      </c>
      <c r="F37" s="223">
        <v>0</v>
      </c>
      <c r="G37" s="223">
        <v>0</v>
      </c>
      <c r="H37" s="224">
        <f t="shared" si="1"/>
        <v>0</v>
      </c>
    </row>
    <row r="38" spans="1:8" ht="15.75">
      <c r="A38" s="113">
        <v>17</v>
      </c>
      <c r="B38" s="44" t="s">
        <v>124</v>
      </c>
      <c r="C38" s="223">
        <v>0</v>
      </c>
      <c r="D38" s="223">
        <v>0</v>
      </c>
      <c r="E38" s="213">
        <f t="shared" si="0"/>
        <v>0</v>
      </c>
      <c r="F38" s="223">
        <v>0</v>
      </c>
      <c r="G38" s="223">
        <v>0</v>
      </c>
      <c r="H38" s="224">
        <f t="shared" si="1"/>
        <v>0</v>
      </c>
    </row>
    <row r="39" spans="1:8" ht="15.75">
      <c r="A39" s="113">
        <v>18</v>
      </c>
      <c r="B39" s="44" t="s">
        <v>125</v>
      </c>
      <c r="C39" s="223">
        <v>0</v>
      </c>
      <c r="D39" s="223">
        <v>0</v>
      </c>
      <c r="E39" s="213">
        <f t="shared" si="0"/>
        <v>0</v>
      </c>
      <c r="F39" s="223">
        <v>0</v>
      </c>
      <c r="G39" s="223">
        <v>0</v>
      </c>
      <c r="H39" s="224">
        <f t="shared" si="1"/>
        <v>0</v>
      </c>
    </row>
    <row r="40" spans="1:8" ht="15.75">
      <c r="A40" s="113">
        <v>19</v>
      </c>
      <c r="B40" s="44" t="s">
        <v>126</v>
      </c>
      <c r="C40" s="223">
        <v>-2672422.0100000016</v>
      </c>
      <c r="D40" s="223"/>
      <c r="E40" s="213">
        <f t="shared" si="0"/>
        <v>-2672422.0100000016</v>
      </c>
      <c r="F40" s="223">
        <v>-3311605.1499999994</v>
      </c>
      <c r="G40" s="223"/>
      <c r="H40" s="224">
        <f t="shared" si="1"/>
        <v>-3311605.1499999994</v>
      </c>
    </row>
    <row r="41" spans="1:8" ht="15.75">
      <c r="A41" s="113">
        <v>20</v>
      </c>
      <c r="B41" s="44" t="s">
        <v>127</v>
      </c>
      <c r="C41" s="223">
        <v>-341595.3800002858</v>
      </c>
      <c r="D41" s="223"/>
      <c r="E41" s="213">
        <f t="shared" si="0"/>
        <v>-341595.3800002858</v>
      </c>
      <c r="F41" s="223">
        <v>210102.09999993443</v>
      </c>
      <c r="G41" s="223"/>
      <c r="H41" s="224">
        <f t="shared" si="1"/>
        <v>210102.09999993443</v>
      </c>
    </row>
    <row r="42" spans="1:8" ht="15.75">
      <c r="A42" s="113">
        <v>21</v>
      </c>
      <c r="B42" s="44" t="s">
        <v>128</v>
      </c>
      <c r="C42" s="223">
        <v>956.84000000002561</v>
      </c>
      <c r="D42" s="223">
        <v>0</v>
      </c>
      <c r="E42" s="213">
        <f t="shared" si="0"/>
        <v>956.84000000002561</v>
      </c>
      <c r="F42" s="223">
        <v>10519.429999999993</v>
      </c>
      <c r="G42" s="223">
        <v>0</v>
      </c>
      <c r="H42" s="224">
        <f t="shared" si="1"/>
        <v>10519.429999999993</v>
      </c>
    </row>
    <row r="43" spans="1:8" ht="15.75">
      <c r="A43" s="113">
        <v>22</v>
      </c>
      <c r="B43" s="44" t="s">
        <v>129</v>
      </c>
      <c r="C43" s="223">
        <v>448793.15</v>
      </c>
      <c r="D43" s="223">
        <v>925.4</v>
      </c>
      <c r="E43" s="213">
        <f t="shared" si="0"/>
        <v>449718.55000000005</v>
      </c>
      <c r="F43" s="223">
        <v>28015.39</v>
      </c>
      <c r="G43" s="223">
        <v>441.45</v>
      </c>
      <c r="H43" s="224">
        <f t="shared" si="1"/>
        <v>28456.84</v>
      </c>
    </row>
    <row r="44" spans="1:8" ht="15.75">
      <c r="A44" s="113">
        <v>23</v>
      </c>
      <c r="B44" s="44" t="s">
        <v>130</v>
      </c>
      <c r="C44" s="223">
        <v>1472895.51</v>
      </c>
      <c r="D44" s="223">
        <v>0</v>
      </c>
      <c r="E44" s="213">
        <f t="shared" si="0"/>
        <v>1472895.51</v>
      </c>
      <c r="F44" s="223">
        <v>1505071.2500000002</v>
      </c>
      <c r="G44" s="223">
        <v>0</v>
      </c>
      <c r="H44" s="224">
        <f t="shared" si="1"/>
        <v>1505071.2500000002</v>
      </c>
    </row>
    <row r="45" spans="1:8" ht="15.75">
      <c r="A45" s="113">
        <v>24</v>
      </c>
      <c r="B45" s="47" t="s">
        <v>131</v>
      </c>
      <c r="C45" s="225">
        <f>C34+C37+C38+C39+C40+C41+C42+C43+C44</f>
        <v>73548651.239999726</v>
      </c>
      <c r="D45" s="225">
        <f>D34+D37+D38+D39+D40+D41+D42+D43+D44</f>
        <v>-204614.15000000168</v>
      </c>
      <c r="E45" s="213">
        <f t="shared" si="0"/>
        <v>73344037.08999972</v>
      </c>
      <c r="F45" s="225">
        <f>F34+F37+F38+F39+F40+F41+F42+F43+F44</f>
        <v>69308002.459999919</v>
      </c>
      <c r="G45" s="225">
        <f>G34+G37+G38+G39+G40+G41+G42+G43+G44</f>
        <v>-1434848.5399999993</v>
      </c>
      <c r="H45" s="224">
        <f t="shared" si="1"/>
        <v>67873153.919999912</v>
      </c>
    </row>
    <row r="46" spans="1:8">
      <c r="A46" s="113"/>
      <c r="B46" s="42" t="s">
        <v>132</v>
      </c>
      <c r="C46" s="223"/>
      <c r="D46" s="223"/>
      <c r="E46" s="223"/>
      <c r="F46" s="223"/>
      <c r="G46" s="223"/>
      <c r="H46" s="229"/>
    </row>
    <row r="47" spans="1:8" ht="15.75">
      <c r="A47" s="113">
        <v>25</v>
      </c>
      <c r="B47" s="44" t="s">
        <v>133</v>
      </c>
      <c r="C47" s="223">
        <v>3695160.33</v>
      </c>
      <c r="D47" s="223">
        <v>296826.49000000005</v>
      </c>
      <c r="E47" s="213">
        <f t="shared" si="0"/>
        <v>3991986.8200000003</v>
      </c>
      <c r="F47" s="223">
        <v>2787197.45</v>
      </c>
      <c r="G47" s="223">
        <v>249693.34000000003</v>
      </c>
      <c r="H47" s="224">
        <f t="shared" si="1"/>
        <v>3036890.79</v>
      </c>
    </row>
    <row r="48" spans="1:8" ht="15.75">
      <c r="A48" s="113">
        <v>26</v>
      </c>
      <c r="B48" s="44" t="s">
        <v>134</v>
      </c>
      <c r="C48" s="223">
        <v>6877644.71</v>
      </c>
      <c r="D48" s="223">
        <v>643579.5199999999</v>
      </c>
      <c r="E48" s="213">
        <f t="shared" si="0"/>
        <v>7521224.2299999995</v>
      </c>
      <c r="F48" s="223">
        <v>3825919.1400000011</v>
      </c>
      <c r="G48" s="223">
        <v>580150.05999999994</v>
      </c>
      <c r="H48" s="224">
        <f t="shared" si="1"/>
        <v>4406069.2000000011</v>
      </c>
    </row>
    <row r="49" spans="1:9" ht="15.75">
      <c r="A49" s="113">
        <v>27</v>
      </c>
      <c r="B49" s="44" t="s">
        <v>135</v>
      </c>
      <c r="C49" s="223">
        <v>108672406.47999999</v>
      </c>
      <c r="D49" s="223"/>
      <c r="E49" s="213">
        <f t="shared" si="0"/>
        <v>108672406.47999999</v>
      </c>
      <c r="F49" s="223">
        <v>90920741.539999992</v>
      </c>
      <c r="G49" s="223"/>
      <c r="H49" s="224">
        <f t="shared" si="1"/>
        <v>90920741.539999992</v>
      </c>
    </row>
    <row r="50" spans="1:9" ht="15.75">
      <c r="A50" s="113">
        <v>28</v>
      </c>
      <c r="B50" s="44" t="s">
        <v>270</v>
      </c>
      <c r="C50" s="223">
        <v>2083703.92</v>
      </c>
      <c r="D50" s="223"/>
      <c r="E50" s="213">
        <f t="shared" si="0"/>
        <v>2083703.92</v>
      </c>
      <c r="F50" s="223">
        <v>2095821.2200000002</v>
      </c>
      <c r="G50" s="223"/>
      <c r="H50" s="224">
        <f t="shared" si="1"/>
        <v>2095821.2200000002</v>
      </c>
    </row>
    <row r="51" spans="1:9" ht="15.75">
      <c r="A51" s="113">
        <v>29</v>
      </c>
      <c r="B51" s="44" t="s">
        <v>136</v>
      </c>
      <c r="C51" s="223">
        <v>15318075.92</v>
      </c>
      <c r="D51" s="223"/>
      <c r="E51" s="213">
        <f t="shared" si="0"/>
        <v>15318075.92</v>
      </c>
      <c r="F51" s="223">
        <v>14791183.880000001</v>
      </c>
      <c r="G51" s="223"/>
      <c r="H51" s="224">
        <f t="shared" si="1"/>
        <v>14791183.880000001</v>
      </c>
    </row>
    <row r="52" spans="1:9" ht="15.75">
      <c r="A52" s="113">
        <v>30</v>
      </c>
      <c r="B52" s="44" t="s">
        <v>137</v>
      </c>
      <c r="C52" s="223">
        <v>21040817.649999999</v>
      </c>
      <c r="D52" s="223">
        <v>213232.91</v>
      </c>
      <c r="E52" s="213">
        <f t="shared" si="0"/>
        <v>21254050.559999999</v>
      </c>
      <c r="F52" s="223">
        <v>18293269.370000001</v>
      </c>
      <c r="G52" s="223">
        <v>918235.14</v>
      </c>
      <c r="H52" s="224">
        <f t="shared" si="1"/>
        <v>19211504.510000002</v>
      </c>
    </row>
    <row r="53" spans="1:9" ht="15.75">
      <c r="A53" s="113">
        <v>31</v>
      </c>
      <c r="B53" s="47" t="s">
        <v>138</v>
      </c>
      <c r="C53" s="225">
        <f>C47+C48+C49+C50+C51+C52</f>
        <v>157687809.00999999</v>
      </c>
      <c r="D53" s="225">
        <f>D47+D48+D49+D50+D51+D52</f>
        <v>1153638.92</v>
      </c>
      <c r="E53" s="213">
        <f t="shared" si="0"/>
        <v>158841447.92999998</v>
      </c>
      <c r="F53" s="225">
        <f>F47+F48+F49+F50+F51+F52</f>
        <v>132714132.59999999</v>
      </c>
      <c r="G53" s="225">
        <f>G47+G48+G49+G50+G51+G52</f>
        <v>1748078.54</v>
      </c>
      <c r="H53" s="224">
        <f t="shared" si="1"/>
        <v>134462211.13999999</v>
      </c>
    </row>
    <row r="54" spans="1:9" ht="15.75">
      <c r="A54" s="113">
        <v>32</v>
      </c>
      <c r="B54" s="47" t="s">
        <v>139</v>
      </c>
      <c r="C54" s="225">
        <f>C45-C53</f>
        <v>-84139157.770000264</v>
      </c>
      <c r="D54" s="225">
        <f>D45-D53</f>
        <v>-1358253.0700000017</v>
      </c>
      <c r="E54" s="213">
        <f t="shared" si="0"/>
        <v>-85497410.840000272</v>
      </c>
      <c r="F54" s="225">
        <f>F45-F53</f>
        <v>-63406130.140000075</v>
      </c>
      <c r="G54" s="225">
        <f>G45-G53</f>
        <v>-3182927.0799999991</v>
      </c>
      <c r="H54" s="224">
        <f t="shared" si="1"/>
        <v>-66589057.220000073</v>
      </c>
    </row>
    <row r="55" spans="1:9">
      <c r="A55" s="113"/>
      <c r="B55" s="42"/>
      <c r="C55" s="227"/>
      <c r="D55" s="227"/>
      <c r="E55" s="227"/>
      <c r="F55" s="227"/>
      <c r="G55" s="227"/>
      <c r="H55" s="228"/>
    </row>
    <row r="56" spans="1:9" ht="15.75">
      <c r="A56" s="113">
        <v>33</v>
      </c>
      <c r="B56" s="47" t="s">
        <v>140</v>
      </c>
      <c r="C56" s="225">
        <f>C31+C54</f>
        <v>70581339.569999769</v>
      </c>
      <c r="D56" s="225">
        <f>D31+D54</f>
        <v>-873787.0000000014</v>
      </c>
      <c r="E56" s="213">
        <f t="shared" si="0"/>
        <v>69707552.569999769</v>
      </c>
      <c r="F56" s="225">
        <f>F31+F54</f>
        <v>72325846.469999939</v>
      </c>
      <c r="G56" s="225">
        <f>G31+G54</f>
        <v>-5348852.5300000012</v>
      </c>
      <c r="H56" s="224">
        <f t="shared" si="1"/>
        <v>66976993.939999938</v>
      </c>
    </row>
    <row r="57" spans="1:9">
      <c r="A57" s="113"/>
      <c r="B57" s="42"/>
      <c r="C57" s="227"/>
      <c r="D57" s="227"/>
      <c r="E57" s="227"/>
      <c r="F57" s="227"/>
      <c r="G57" s="227"/>
      <c r="H57" s="228"/>
    </row>
    <row r="58" spans="1:9" ht="15.75">
      <c r="A58" s="113">
        <v>34</v>
      </c>
      <c r="B58" s="44" t="s">
        <v>141</v>
      </c>
      <c r="C58" s="223">
        <v>29455871.820000004</v>
      </c>
      <c r="D58" s="223"/>
      <c r="E58" s="213">
        <f t="shared" si="0"/>
        <v>29455871.820000004</v>
      </c>
      <c r="F58" s="223">
        <v>33433644.660000004</v>
      </c>
      <c r="G58" s="223"/>
      <c r="H58" s="224">
        <f t="shared" si="1"/>
        <v>33433644.660000004</v>
      </c>
    </row>
    <row r="59" spans="1:9" s="188" customFormat="1" ht="15.75">
      <c r="A59" s="113">
        <v>35</v>
      </c>
      <c r="B59" s="41" t="s">
        <v>142</v>
      </c>
      <c r="C59" s="230"/>
      <c r="D59" s="230"/>
      <c r="E59" s="231">
        <f t="shared" si="0"/>
        <v>0</v>
      </c>
      <c r="F59" s="232"/>
      <c r="G59" s="232"/>
      <c r="H59" s="233">
        <f t="shared" si="1"/>
        <v>0</v>
      </c>
      <c r="I59" s="187"/>
    </row>
    <row r="60" spans="1:9" ht="15.75">
      <c r="A60" s="113">
        <v>36</v>
      </c>
      <c r="B60" s="44" t="s">
        <v>143</v>
      </c>
      <c r="C60" s="223">
        <v>2855804.93</v>
      </c>
      <c r="D60" s="223"/>
      <c r="E60" s="213">
        <f t="shared" si="0"/>
        <v>2855804.93</v>
      </c>
      <c r="F60" s="223">
        <v>916205.97</v>
      </c>
      <c r="G60" s="223"/>
      <c r="H60" s="224">
        <f t="shared" si="1"/>
        <v>916205.97</v>
      </c>
    </row>
    <row r="61" spans="1:9" ht="15.75">
      <c r="A61" s="113">
        <v>37</v>
      </c>
      <c r="B61" s="47" t="s">
        <v>144</v>
      </c>
      <c r="C61" s="225">
        <f>C58+C59+C60</f>
        <v>32311676.750000004</v>
      </c>
      <c r="D61" s="225">
        <f>D58+D59+D60</f>
        <v>0</v>
      </c>
      <c r="E61" s="213">
        <f t="shared" si="0"/>
        <v>32311676.750000004</v>
      </c>
      <c r="F61" s="225">
        <f>F58+F59+F60</f>
        <v>34349850.630000003</v>
      </c>
      <c r="G61" s="225">
        <f>G58+G59+G60</f>
        <v>0</v>
      </c>
      <c r="H61" s="224">
        <f t="shared" si="1"/>
        <v>34349850.630000003</v>
      </c>
    </row>
    <row r="62" spans="1:9">
      <c r="A62" s="113"/>
      <c r="B62" s="48"/>
      <c r="C62" s="223"/>
      <c r="D62" s="223"/>
      <c r="E62" s="223"/>
      <c r="F62" s="223"/>
      <c r="G62" s="223"/>
      <c r="H62" s="229"/>
    </row>
    <row r="63" spans="1:9" ht="15.75">
      <c r="A63" s="113">
        <v>38</v>
      </c>
      <c r="B63" s="49" t="s">
        <v>271</v>
      </c>
      <c r="C63" s="225">
        <f>C56-C61</f>
        <v>38269662.819999769</v>
      </c>
      <c r="D63" s="225">
        <f>D56-D61</f>
        <v>-873787.0000000014</v>
      </c>
      <c r="E63" s="213">
        <f t="shared" si="0"/>
        <v>37395875.819999769</v>
      </c>
      <c r="F63" s="225">
        <f>F56-F61</f>
        <v>37975995.839999937</v>
      </c>
      <c r="G63" s="225">
        <f>G56-G61</f>
        <v>-5348852.5300000012</v>
      </c>
      <c r="H63" s="224">
        <f t="shared" si="1"/>
        <v>32627143.309999935</v>
      </c>
    </row>
    <row r="64" spans="1:9" ht="15.75">
      <c r="A64" s="111">
        <v>39</v>
      </c>
      <c r="B64" s="44" t="s">
        <v>145</v>
      </c>
      <c r="C64" s="646">
        <v>6533993.5000000009</v>
      </c>
      <c r="D64" s="234"/>
      <c r="E64" s="213">
        <f t="shared" si="0"/>
        <v>6533993.5000000009</v>
      </c>
      <c r="F64" s="234">
        <v>5264622.6300000008</v>
      </c>
      <c r="G64" s="234"/>
      <c r="H64" s="224">
        <f t="shared" si="1"/>
        <v>5264622.6300000008</v>
      </c>
    </row>
    <row r="65" spans="1:8" ht="15.75">
      <c r="A65" s="113">
        <v>40</v>
      </c>
      <c r="B65" s="47" t="s">
        <v>146</v>
      </c>
      <c r="C65" s="225">
        <f>C63-C64</f>
        <v>31735669.319999769</v>
      </c>
      <c r="D65" s="225">
        <f>D63-D64</f>
        <v>-873787.0000000014</v>
      </c>
      <c r="E65" s="213">
        <f t="shared" si="0"/>
        <v>30861882.319999769</v>
      </c>
      <c r="F65" s="225">
        <f>F63-F64</f>
        <v>32711373.209999934</v>
      </c>
      <c r="G65" s="225">
        <f>G63-G64</f>
        <v>-5348852.5300000012</v>
      </c>
      <c r="H65" s="224">
        <f t="shared" si="1"/>
        <v>27362520.679999933</v>
      </c>
    </row>
    <row r="66" spans="1:8" ht="15.75">
      <c r="A66" s="111">
        <v>41</v>
      </c>
      <c r="B66" s="44" t="s">
        <v>147</v>
      </c>
      <c r="C66" s="234">
        <v>-199370.66</v>
      </c>
      <c r="D66" s="234"/>
      <c r="E66" s="213">
        <f t="shared" si="0"/>
        <v>-199370.66</v>
      </c>
      <c r="F66" s="234">
        <v>-14158.42</v>
      </c>
      <c r="G66" s="234"/>
      <c r="H66" s="224">
        <f t="shared" si="1"/>
        <v>-14158.42</v>
      </c>
    </row>
    <row r="67" spans="1:8" ht="16.5" thickBot="1">
      <c r="A67" s="115">
        <v>42</v>
      </c>
      <c r="B67" s="116" t="s">
        <v>148</v>
      </c>
      <c r="C67" s="235">
        <f>C65+C66</f>
        <v>31536298.659999769</v>
      </c>
      <c r="D67" s="235">
        <f>D65+D66</f>
        <v>-873787.0000000014</v>
      </c>
      <c r="E67" s="221">
        <f t="shared" si="0"/>
        <v>30662511.659999769</v>
      </c>
      <c r="F67" s="235">
        <f>F65+F66</f>
        <v>32697214.789999932</v>
      </c>
      <c r="G67" s="235">
        <f>G65+G66</f>
        <v>-5348852.5300000012</v>
      </c>
      <c r="H67" s="236">
        <f t="shared" si="1"/>
        <v>27348362.259999931</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61 E63 E65 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3"/>
  <sheetViews>
    <sheetView topLeftCell="A40" zoomScaleNormal="100" workbookViewId="0">
      <selection activeCell="F41" sqref="F41:G44"/>
    </sheetView>
  </sheetViews>
  <sheetFormatPr defaultRowHeight="15"/>
  <cols>
    <col min="1" max="1" width="9.5703125" bestFit="1" customWidth="1"/>
    <col min="2" max="2" width="72.28515625" customWidth="1"/>
    <col min="3" max="3" width="14.85546875" bestFit="1" customWidth="1"/>
    <col min="4" max="8" width="12.7109375" customWidth="1"/>
    <col min="10" max="10" width="10.5703125" bestFit="1" customWidth="1"/>
  </cols>
  <sheetData>
    <row r="1" spans="1:8">
      <c r="A1" s="1" t="s">
        <v>188</v>
      </c>
      <c r="B1" t="str">
        <f>Info!C2</f>
        <v>სს "კრედო ბანკი"</v>
      </c>
    </row>
    <row r="2" spans="1:8">
      <c r="A2" s="1" t="s">
        <v>189</v>
      </c>
      <c r="B2" s="434">
        <f>'1. key ratios'!B2</f>
        <v>44926</v>
      </c>
    </row>
    <row r="3" spans="1:8">
      <c r="A3" s="1"/>
    </row>
    <row r="4" spans="1:8" ht="16.5" thickBot="1">
      <c r="A4" s="1" t="s">
        <v>330</v>
      </c>
      <c r="B4" s="1"/>
      <c r="C4" s="197"/>
      <c r="D4" s="197"/>
      <c r="E4" s="197"/>
      <c r="F4" s="197"/>
      <c r="G4" s="197"/>
      <c r="H4" s="198" t="s">
        <v>93</v>
      </c>
    </row>
    <row r="5" spans="1:8" ht="15.75">
      <c r="A5" s="658" t="s">
        <v>26</v>
      </c>
      <c r="B5" s="660" t="s">
        <v>244</v>
      </c>
      <c r="C5" s="662" t="s">
        <v>194</v>
      </c>
      <c r="D5" s="662"/>
      <c r="E5" s="662"/>
      <c r="F5" s="662" t="s">
        <v>195</v>
      </c>
      <c r="G5" s="662"/>
      <c r="H5" s="663"/>
    </row>
    <row r="6" spans="1:8">
      <c r="A6" s="659"/>
      <c r="B6" s="661"/>
      <c r="C6" s="30" t="s">
        <v>27</v>
      </c>
      <c r="D6" s="30" t="s">
        <v>94</v>
      </c>
      <c r="E6" s="30" t="s">
        <v>68</v>
      </c>
      <c r="F6" s="30" t="s">
        <v>27</v>
      </c>
      <c r="G6" s="30" t="s">
        <v>94</v>
      </c>
      <c r="H6" s="31" t="s">
        <v>68</v>
      </c>
    </row>
    <row r="7" spans="1:8" ht="15.75">
      <c r="A7" s="105">
        <v>1</v>
      </c>
      <c r="B7" s="199" t="s">
        <v>365</v>
      </c>
      <c r="C7" s="634">
        <f t="shared" ref="C7:D7" si="0">SUM(C8:C11)</f>
        <v>28494430.469999999</v>
      </c>
      <c r="D7" s="634">
        <f t="shared" si="0"/>
        <v>16802802</v>
      </c>
      <c r="E7" s="237">
        <f>SUM(E8:E11)</f>
        <v>45297232.469999999</v>
      </c>
      <c r="F7" s="634">
        <f t="shared" ref="F7:G7" si="1">SUM(F8:F11)</f>
        <v>28361823.710000001</v>
      </c>
      <c r="G7" s="634">
        <f t="shared" si="1"/>
        <v>5192680.74</v>
      </c>
      <c r="H7" s="237">
        <f>SUM(H8:H11)</f>
        <v>33554504.450000003</v>
      </c>
    </row>
    <row r="8" spans="1:8" ht="15.75">
      <c r="A8" s="105">
        <v>1.1000000000000001</v>
      </c>
      <c r="B8" s="200" t="s">
        <v>275</v>
      </c>
      <c r="C8" s="215">
        <v>305899</v>
      </c>
      <c r="D8" s="215"/>
      <c r="E8" s="237">
        <f t="shared" ref="E8:E53" si="2">C8+D8</f>
        <v>305899</v>
      </c>
      <c r="F8" s="215">
        <v>30000</v>
      </c>
      <c r="G8" s="215"/>
      <c r="H8" s="216">
        <f t="shared" ref="H8:H53" si="3">F8+G8</f>
        <v>30000</v>
      </c>
    </row>
    <row r="9" spans="1:8" ht="15.75">
      <c r="A9" s="105">
        <v>1.2</v>
      </c>
      <c r="B9" s="200" t="s">
        <v>276</v>
      </c>
      <c r="C9" s="215"/>
      <c r="D9" s="215"/>
      <c r="E9" s="237">
        <f t="shared" si="2"/>
        <v>0</v>
      </c>
      <c r="F9" s="215"/>
      <c r="G9" s="215"/>
      <c r="H9" s="216">
        <f t="shared" si="3"/>
        <v>0</v>
      </c>
    </row>
    <row r="10" spans="1:8" ht="15.75">
      <c r="A10" s="105">
        <v>1.3</v>
      </c>
      <c r="B10" s="200" t="s">
        <v>277</v>
      </c>
      <c r="C10" s="215">
        <v>23229794</v>
      </c>
      <c r="D10" s="215">
        <v>16802802</v>
      </c>
      <c r="E10" s="237">
        <f t="shared" si="2"/>
        <v>40032596</v>
      </c>
      <c r="F10" s="215">
        <v>12335365.49</v>
      </c>
      <c r="G10" s="215">
        <v>5192680.74</v>
      </c>
      <c r="H10" s="216">
        <f t="shared" si="3"/>
        <v>17528046.23</v>
      </c>
    </row>
    <row r="11" spans="1:8" ht="15.75">
      <c r="A11" s="105">
        <v>1.4</v>
      </c>
      <c r="B11" s="200" t="s">
        <v>278</v>
      </c>
      <c r="C11" s="215">
        <v>4958737.47</v>
      </c>
      <c r="D11" s="215"/>
      <c r="E11" s="237">
        <f t="shared" si="2"/>
        <v>4958737.47</v>
      </c>
      <c r="F11" s="215">
        <v>15996458.220000001</v>
      </c>
      <c r="G11" s="215"/>
      <c r="H11" s="216">
        <f t="shared" si="3"/>
        <v>15996458.220000001</v>
      </c>
    </row>
    <row r="12" spans="1:8" ht="29.25" customHeight="1">
      <c r="A12" s="105">
        <v>2</v>
      </c>
      <c r="B12" s="199" t="s">
        <v>279</v>
      </c>
      <c r="C12" s="215"/>
      <c r="D12" s="215"/>
      <c r="E12" s="237">
        <f t="shared" si="2"/>
        <v>0</v>
      </c>
      <c r="F12" s="215"/>
      <c r="G12" s="215"/>
      <c r="H12" s="216">
        <f t="shared" si="3"/>
        <v>0</v>
      </c>
    </row>
    <row r="13" spans="1:8" ht="25.5">
      <c r="A13" s="105">
        <v>3</v>
      </c>
      <c r="B13" s="199" t="s">
        <v>280</v>
      </c>
      <c r="C13" s="547">
        <f>C14+C15</f>
        <v>0</v>
      </c>
      <c r="D13" s="547">
        <f>D14+D15</f>
        <v>0</v>
      </c>
      <c r="E13" s="237">
        <f t="shared" si="2"/>
        <v>0</v>
      </c>
      <c r="F13" s="547">
        <f>F14+F15</f>
        <v>0</v>
      </c>
      <c r="G13" s="547">
        <f>G14+G15</f>
        <v>0</v>
      </c>
      <c r="H13" s="216">
        <f t="shared" si="3"/>
        <v>0</v>
      </c>
    </row>
    <row r="14" spans="1:8" ht="15.75">
      <c r="A14" s="105">
        <v>3.1</v>
      </c>
      <c r="B14" s="200" t="s">
        <v>281</v>
      </c>
      <c r="C14" s="215"/>
      <c r="D14" s="215"/>
      <c r="E14" s="237">
        <f t="shared" si="2"/>
        <v>0</v>
      </c>
      <c r="F14" s="215"/>
      <c r="G14" s="215"/>
      <c r="H14" s="216">
        <f t="shared" si="3"/>
        <v>0</v>
      </c>
    </row>
    <row r="15" spans="1:8" ht="15.75">
      <c r="A15" s="105">
        <v>3.2</v>
      </c>
      <c r="B15" s="200" t="s">
        <v>282</v>
      </c>
      <c r="C15" s="215"/>
      <c r="D15" s="215"/>
      <c r="E15" s="237">
        <f t="shared" si="2"/>
        <v>0</v>
      </c>
      <c r="F15" s="215"/>
      <c r="G15" s="215"/>
      <c r="H15" s="216">
        <f t="shared" si="3"/>
        <v>0</v>
      </c>
    </row>
    <row r="16" spans="1:8" ht="15.75">
      <c r="A16" s="105">
        <v>4</v>
      </c>
      <c r="B16" s="199" t="s">
        <v>283</v>
      </c>
      <c r="C16" s="547">
        <f t="shared" ref="C16:H16" si="4">C17+C18</f>
        <v>1078055209.1800001</v>
      </c>
      <c r="D16" s="547">
        <f t="shared" si="4"/>
        <v>0</v>
      </c>
      <c r="E16" s="237">
        <f t="shared" si="4"/>
        <v>1078055209.1800001</v>
      </c>
      <c r="F16" s="547">
        <f t="shared" si="4"/>
        <v>869644272.90999997</v>
      </c>
      <c r="G16" s="547">
        <f t="shared" si="4"/>
        <v>0</v>
      </c>
      <c r="H16" s="237">
        <f t="shared" si="4"/>
        <v>869644272.90999997</v>
      </c>
    </row>
    <row r="17" spans="1:8" ht="15.75">
      <c r="A17" s="105">
        <v>4.0999999999999996</v>
      </c>
      <c r="B17" s="200" t="s">
        <v>284</v>
      </c>
      <c r="C17" s="215">
        <v>1077789104.1800001</v>
      </c>
      <c r="D17" s="215"/>
      <c r="E17" s="237">
        <f t="shared" si="2"/>
        <v>1077789104.1800001</v>
      </c>
      <c r="F17" s="215">
        <v>869373167.90999997</v>
      </c>
      <c r="G17" s="215"/>
      <c r="H17" s="216">
        <f t="shared" si="3"/>
        <v>869373167.90999997</v>
      </c>
    </row>
    <row r="18" spans="1:8" ht="15.75">
      <c r="A18" s="105">
        <v>4.2</v>
      </c>
      <c r="B18" s="200" t="s">
        <v>285</v>
      </c>
      <c r="C18" s="215">
        <v>266105</v>
      </c>
      <c r="D18" s="215"/>
      <c r="E18" s="237">
        <f t="shared" si="2"/>
        <v>266105</v>
      </c>
      <c r="F18" s="215">
        <v>271105</v>
      </c>
      <c r="G18" s="215"/>
      <c r="H18" s="216">
        <f t="shared" si="3"/>
        <v>271105</v>
      </c>
    </row>
    <row r="19" spans="1:8" ht="25.5">
      <c r="A19" s="105">
        <v>5</v>
      </c>
      <c r="B19" s="199" t="s">
        <v>286</v>
      </c>
      <c r="C19" s="547">
        <f t="shared" ref="C19:H19" si="5">C20+C21+C22+C28</f>
        <v>1048946872.1900001</v>
      </c>
      <c r="D19" s="547">
        <f t="shared" si="5"/>
        <v>2702000</v>
      </c>
      <c r="E19" s="237">
        <f t="shared" si="5"/>
        <v>1051648872.1900001</v>
      </c>
      <c r="F19" s="547">
        <f t="shared" si="5"/>
        <v>669545065.46000004</v>
      </c>
      <c r="G19" s="547">
        <f t="shared" si="5"/>
        <v>0</v>
      </c>
      <c r="H19" s="237">
        <f t="shared" si="5"/>
        <v>669545065.46000004</v>
      </c>
    </row>
    <row r="20" spans="1:8" ht="15.75">
      <c r="A20" s="105">
        <v>5.0999999999999996</v>
      </c>
      <c r="B20" s="200" t="s">
        <v>287</v>
      </c>
      <c r="C20" s="215">
        <v>20218675.539999999</v>
      </c>
      <c r="D20" s="215">
        <v>2702000</v>
      </c>
      <c r="E20" s="237">
        <f t="shared" si="2"/>
        <v>22920675.539999999</v>
      </c>
      <c r="F20" s="215">
        <v>11374758.27</v>
      </c>
      <c r="G20" s="215"/>
      <c r="H20" s="216">
        <f t="shared" si="3"/>
        <v>11374758.27</v>
      </c>
    </row>
    <row r="21" spans="1:8" ht="15.75">
      <c r="A21" s="105">
        <v>5.2</v>
      </c>
      <c r="B21" s="200" t="s">
        <v>288</v>
      </c>
      <c r="C21" s="215">
        <v>45090.78</v>
      </c>
      <c r="D21" s="215"/>
      <c r="E21" s="237">
        <f t="shared" si="2"/>
        <v>45090.78</v>
      </c>
      <c r="F21" s="215">
        <v>48351.76</v>
      </c>
      <c r="G21" s="215"/>
      <c r="H21" s="216">
        <f t="shared" si="3"/>
        <v>48351.76</v>
      </c>
    </row>
    <row r="22" spans="1:8" ht="15.75">
      <c r="A22" s="105">
        <v>5.3</v>
      </c>
      <c r="B22" s="200" t="s">
        <v>289</v>
      </c>
      <c r="C22" s="547">
        <f>SUM(C23:C27)</f>
        <v>954875671.86000001</v>
      </c>
      <c r="D22" s="215"/>
      <c r="E22" s="237">
        <f t="shared" si="2"/>
        <v>954875671.86000001</v>
      </c>
      <c r="F22" s="547">
        <f>SUM(F23:F27)</f>
        <v>617916157.60000002</v>
      </c>
      <c r="G22" s="215"/>
      <c r="H22" s="216">
        <f t="shared" si="3"/>
        <v>617916157.60000002</v>
      </c>
    </row>
    <row r="23" spans="1:8" ht="15.75">
      <c r="A23" s="105" t="s">
        <v>290</v>
      </c>
      <c r="B23" s="201" t="s">
        <v>291</v>
      </c>
      <c r="C23" s="215">
        <v>680468891.78999996</v>
      </c>
      <c r="D23" s="215"/>
      <c r="E23" s="237">
        <f t="shared" si="2"/>
        <v>680468891.78999996</v>
      </c>
      <c r="F23" s="215">
        <v>424488392.74000001</v>
      </c>
      <c r="G23" s="215"/>
      <c r="H23" s="216">
        <f t="shared" si="3"/>
        <v>424488392.74000001</v>
      </c>
    </row>
    <row r="24" spans="1:8" ht="15.75">
      <c r="A24" s="105" t="s">
        <v>292</v>
      </c>
      <c r="B24" s="201" t="s">
        <v>293</v>
      </c>
      <c r="C24" s="215">
        <v>152552769.08000001</v>
      </c>
      <c r="D24" s="215"/>
      <c r="E24" s="237">
        <f t="shared" si="2"/>
        <v>152552769.08000001</v>
      </c>
      <c r="F24" s="215">
        <v>94891200.670000002</v>
      </c>
      <c r="G24" s="215"/>
      <c r="H24" s="216">
        <f t="shared" si="3"/>
        <v>94891200.670000002</v>
      </c>
    </row>
    <row r="25" spans="1:8" ht="15.75">
      <c r="A25" s="105" t="s">
        <v>294</v>
      </c>
      <c r="B25" s="202" t="s">
        <v>295</v>
      </c>
      <c r="C25" s="215"/>
      <c r="D25" s="215"/>
      <c r="E25" s="237">
        <f t="shared" si="2"/>
        <v>0</v>
      </c>
      <c r="F25" s="215">
        <v>0</v>
      </c>
      <c r="G25" s="215"/>
      <c r="H25" s="216">
        <f t="shared" si="3"/>
        <v>0</v>
      </c>
    </row>
    <row r="26" spans="1:8" ht="15.75">
      <c r="A26" s="105" t="s">
        <v>296</v>
      </c>
      <c r="B26" s="201" t="s">
        <v>297</v>
      </c>
      <c r="C26" s="215">
        <v>117644554</v>
      </c>
      <c r="D26" s="215"/>
      <c r="E26" s="237">
        <f t="shared" si="2"/>
        <v>117644554</v>
      </c>
      <c r="F26" s="215">
        <v>95860250.180000007</v>
      </c>
      <c r="G26" s="215"/>
      <c r="H26" s="216">
        <f t="shared" si="3"/>
        <v>95860250.180000007</v>
      </c>
    </row>
    <row r="27" spans="1:8" ht="15.75">
      <c r="A27" s="105" t="s">
        <v>298</v>
      </c>
      <c r="B27" s="201" t="s">
        <v>299</v>
      </c>
      <c r="C27" s="215">
        <v>4209456.99</v>
      </c>
      <c r="D27" s="215"/>
      <c r="E27" s="237">
        <f t="shared" si="2"/>
        <v>4209456.99</v>
      </c>
      <c r="F27" s="215">
        <v>2676314.0099999998</v>
      </c>
      <c r="G27" s="215"/>
      <c r="H27" s="216">
        <f t="shared" si="3"/>
        <v>2676314.0099999998</v>
      </c>
    </row>
    <row r="28" spans="1:8" ht="15.75">
      <c r="A28" s="105">
        <v>5.4</v>
      </c>
      <c r="B28" s="200" t="s">
        <v>300</v>
      </c>
      <c r="C28" s="215">
        <v>73807434.010000005</v>
      </c>
      <c r="D28" s="215"/>
      <c r="E28" s="237">
        <f t="shared" si="2"/>
        <v>73807434.010000005</v>
      </c>
      <c r="F28" s="215">
        <v>40205797.829999998</v>
      </c>
      <c r="G28" s="215"/>
      <c r="H28" s="216">
        <f t="shared" si="3"/>
        <v>40205797.829999998</v>
      </c>
    </row>
    <row r="29" spans="1:8" ht="15.75">
      <c r="A29" s="105">
        <v>5.5</v>
      </c>
      <c r="B29" s="200" t="s">
        <v>301</v>
      </c>
      <c r="C29" s="215"/>
      <c r="D29" s="215"/>
      <c r="E29" s="237">
        <f t="shared" si="2"/>
        <v>0</v>
      </c>
      <c r="F29" s="215"/>
      <c r="G29" s="215"/>
      <c r="H29" s="216">
        <f t="shared" si="3"/>
        <v>0</v>
      </c>
    </row>
    <row r="30" spans="1:8" ht="15.75">
      <c r="A30" s="105">
        <v>5.6</v>
      </c>
      <c r="B30" s="200" t="s">
        <v>302</v>
      </c>
      <c r="C30" s="215"/>
      <c r="D30" s="215"/>
      <c r="E30" s="237">
        <f t="shared" si="2"/>
        <v>0</v>
      </c>
      <c r="F30" s="215"/>
      <c r="G30" s="215"/>
      <c r="H30" s="216">
        <f t="shared" si="3"/>
        <v>0</v>
      </c>
    </row>
    <row r="31" spans="1:8" ht="15.75">
      <c r="A31" s="105">
        <v>5.7</v>
      </c>
      <c r="B31" s="200" t="s">
        <v>303</v>
      </c>
      <c r="C31" s="215"/>
      <c r="D31" s="215"/>
      <c r="E31" s="237">
        <f t="shared" si="2"/>
        <v>0</v>
      </c>
      <c r="F31" s="215"/>
      <c r="G31" s="215"/>
      <c r="H31" s="216">
        <f t="shared" si="3"/>
        <v>0</v>
      </c>
    </row>
    <row r="32" spans="1:8" ht="15.75">
      <c r="A32" s="105">
        <v>6</v>
      </c>
      <c r="B32" s="199" t="s">
        <v>304</v>
      </c>
      <c r="C32" s="547">
        <f t="shared" ref="C32:H32" si="6">C33+C34</f>
        <v>170967056.40000001</v>
      </c>
      <c r="D32" s="547">
        <f t="shared" si="6"/>
        <v>171358720</v>
      </c>
      <c r="E32" s="237">
        <f t="shared" si="6"/>
        <v>342325776.39999998</v>
      </c>
      <c r="F32" s="547">
        <f t="shared" si="6"/>
        <v>14236850</v>
      </c>
      <c r="G32" s="547">
        <f t="shared" si="6"/>
        <v>1541857.39</v>
      </c>
      <c r="H32" s="237">
        <f t="shared" si="6"/>
        <v>15778707.390000001</v>
      </c>
    </row>
    <row r="33" spans="1:10" ht="25.5">
      <c r="A33" s="105">
        <v>6.1</v>
      </c>
      <c r="B33" s="200" t="s">
        <v>366</v>
      </c>
      <c r="C33" s="215"/>
      <c r="D33" s="215">
        <v>171358720</v>
      </c>
      <c r="E33" s="237">
        <f t="shared" si="2"/>
        <v>171358720</v>
      </c>
      <c r="F33" s="215">
        <v>14236850</v>
      </c>
      <c r="G33" s="215">
        <v>1541857.39</v>
      </c>
      <c r="H33" s="216">
        <f t="shared" si="3"/>
        <v>15778707.390000001</v>
      </c>
    </row>
    <row r="34" spans="1:10" ht="25.5">
      <c r="A34" s="105">
        <v>6.2</v>
      </c>
      <c r="B34" s="200" t="s">
        <v>305</v>
      </c>
      <c r="C34" s="215">
        <v>170967056.40000001</v>
      </c>
      <c r="D34" s="215"/>
      <c r="E34" s="237">
        <f t="shared" si="2"/>
        <v>170967056.40000001</v>
      </c>
      <c r="F34" s="215"/>
      <c r="G34" s="215"/>
      <c r="H34" s="216">
        <f t="shared" si="3"/>
        <v>0</v>
      </c>
    </row>
    <row r="35" spans="1:10" ht="25.5">
      <c r="A35" s="105">
        <v>6.3</v>
      </c>
      <c r="B35" s="200" t="s">
        <v>306</v>
      </c>
      <c r="C35" s="215"/>
      <c r="D35" s="215"/>
      <c r="E35" s="237">
        <f t="shared" si="2"/>
        <v>0</v>
      </c>
      <c r="F35" s="215"/>
      <c r="G35" s="215"/>
      <c r="H35" s="216">
        <f t="shared" si="3"/>
        <v>0</v>
      </c>
    </row>
    <row r="36" spans="1:10" ht="15.75">
      <c r="A36" s="105">
        <v>6.4</v>
      </c>
      <c r="B36" s="200" t="s">
        <v>307</v>
      </c>
      <c r="C36" s="215"/>
      <c r="D36" s="215"/>
      <c r="E36" s="237">
        <f t="shared" si="2"/>
        <v>0</v>
      </c>
      <c r="F36" s="215"/>
      <c r="G36" s="215"/>
      <c r="H36" s="216">
        <f t="shared" si="3"/>
        <v>0</v>
      </c>
    </row>
    <row r="37" spans="1:10" ht="15.75">
      <c r="A37" s="105">
        <v>6.5</v>
      </c>
      <c r="B37" s="200" t="s">
        <v>308</v>
      </c>
      <c r="C37" s="215"/>
      <c r="D37" s="215"/>
      <c r="E37" s="237">
        <f t="shared" si="2"/>
        <v>0</v>
      </c>
      <c r="F37" s="215"/>
      <c r="G37" s="215"/>
      <c r="H37" s="216">
        <f t="shared" si="3"/>
        <v>0</v>
      </c>
    </row>
    <row r="38" spans="1:10" ht="25.5">
      <c r="A38" s="105">
        <v>6.6</v>
      </c>
      <c r="B38" s="200" t="s">
        <v>309</v>
      </c>
      <c r="C38" s="215"/>
      <c r="D38" s="215"/>
      <c r="E38" s="237">
        <f t="shared" si="2"/>
        <v>0</v>
      </c>
      <c r="F38" s="215"/>
      <c r="G38" s="215"/>
      <c r="H38" s="216">
        <f t="shared" si="3"/>
        <v>0</v>
      </c>
    </row>
    <row r="39" spans="1:10" ht="25.5">
      <c r="A39" s="105">
        <v>6.7</v>
      </c>
      <c r="B39" s="200" t="s">
        <v>310</v>
      </c>
      <c r="C39" s="215"/>
      <c r="D39" s="215"/>
      <c r="E39" s="237">
        <f t="shared" si="2"/>
        <v>0</v>
      </c>
      <c r="F39" s="215"/>
      <c r="G39" s="215"/>
      <c r="H39" s="216">
        <f t="shared" si="3"/>
        <v>0</v>
      </c>
    </row>
    <row r="40" spans="1:10" ht="15.75">
      <c r="A40" s="105">
        <v>7</v>
      </c>
      <c r="B40" s="199" t="s">
        <v>311</v>
      </c>
      <c r="C40" s="237">
        <f t="shared" ref="C40:H40" si="7">SUM(C41:C44)</f>
        <v>164882885.22919998</v>
      </c>
      <c r="D40" s="237">
        <f t="shared" si="7"/>
        <v>1863108.6732700027</v>
      </c>
      <c r="E40" s="237">
        <f t="shared" si="7"/>
        <v>166745993.90246999</v>
      </c>
      <c r="F40" s="237">
        <f t="shared" si="7"/>
        <v>98748521.689999968</v>
      </c>
      <c r="G40" s="237">
        <f t="shared" si="7"/>
        <v>25045029.053054001</v>
      </c>
      <c r="H40" s="237">
        <f t="shared" si="7"/>
        <v>123793550.74305397</v>
      </c>
    </row>
    <row r="41" spans="1:10" ht="25.5">
      <c r="A41" s="105">
        <v>7.1</v>
      </c>
      <c r="B41" s="200" t="s">
        <v>312</v>
      </c>
      <c r="C41" s="215">
        <v>11805726.83</v>
      </c>
      <c r="D41" s="215">
        <v>7841</v>
      </c>
      <c r="E41" s="237">
        <f t="shared" si="2"/>
        <v>11813567.83</v>
      </c>
      <c r="F41" s="215">
        <v>10110062.219999989</v>
      </c>
      <c r="G41" s="215">
        <v>65389.995263999997</v>
      </c>
      <c r="H41" s="216">
        <f t="shared" si="3"/>
        <v>10175452.215263989</v>
      </c>
    </row>
    <row r="42" spans="1:10" ht="25.5">
      <c r="A42" s="105">
        <v>7.2</v>
      </c>
      <c r="B42" s="200" t="s">
        <v>313</v>
      </c>
      <c r="C42" s="215">
        <v>6437543.3299999796</v>
      </c>
      <c r="D42" s="215">
        <v>33979</v>
      </c>
      <c r="E42" s="237">
        <f t="shared" si="2"/>
        <v>6471522.3299999796</v>
      </c>
      <c r="F42" s="215">
        <v>5918876.5999999791</v>
      </c>
      <c r="G42" s="215">
        <v>6679.5717119999999</v>
      </c>
      <c r="H42" s="216">
        <f t="shared" si="3"/>
        <v>5925556.1717119794</v>
      </c>
    </row>
    <row r="43" spans="1:10" ht="25.5">
      <c r="A43" s="105">
        <v>7.3</v>
      </c>
      <c r="B43" s="200" t="s">
        <v>314</v>
      </c>
      <c r="C43" s="215">
        <v>90157978.389200032</v>
      </c>
      <c r="D43" s="215">
        <v>239382.81606300152</v>
      </c>
      <c r="E43" s="237">
        <f t="shared" si="2"/>
        <v>90397361.205263034</v>
      </c>
      <c r="F43" s="215">
        <v>49914089.180000022</v>
      </c>
      <c r="G43" s="215">
        <v>16966279.328375001</v>
      </c>
      <c r="H43" s="216">
        <f t="shared" si="3"/>
        <v>66880368.508375019</v>
      </c>
    </row>
    <row r="44" spans="1:10" ht="25.5">
      <c r="A44" s="105">
        <v>7.4</v>
      </c>
      <c r="B44" s="200" t="s">
        <v>315</v>
      </c>
      <c r="C44" s="215">
        <v>56481636.679999962</v>
      </c>
      <c r="D44" s="215">
        <v>1581905.8572070012</v>
      </c>
      <c r="E44" s="237">
        <f t="shared" si="2"/>
        <v>58063542.537206963</v>
      </c>
      <c r="F44" s="215">
        <v>32805493.689999983</v>
      </c>
      <c r="G44" s="215">
        <v>8006680.1577030001</v>
      </c>
      <c r="H44" s="216">
        <f t="shared" si="3"/>
        <v>40812173.84770298</v>
      </c>
      <c r="J44" s="635"/>
    </row>
    <row r="45" spans="1:10" ht="15.75">
      <c r="A45" s="105">
        <v>8</v>
      </c>
      <c r="B45" s="199" t="s">
        <v>316</v>
      </c>
      <c r="C45" s="215"/>
      <c r="D45" s="215"/>
      <c r="E45" s="237">
        <f t="shared" si="2"/>
        <v>0</v>
      </c>
      <c r="F45" s="215"/>
      <c r="G45" s="215"/>
      <c r="H45" s="216">
        <f t="shared" si="3"/>
        <v>0</v>
      </c>
    </row>
    <row r="46" spans="1:10" ht="15.75">
      <c r="A46" s="105">
        <v>8.1</v>
      </c>
      <c r="B46" s="200" t="s">
        <v>317</v>
      </c>
      <c r="C46" s="215"/>
      <c r="D46" s="215"/>
      <c r="E46" s="237">
        <f t="shared" si="2"/>
        <v>0</v>
      </c>
      <c r="F46" s="215"/>
      <c r="G46" s="215"/>
      <c r="H46" s="216">
        <f t="shared" si="3"/>
        <v>0</v>
      </c>
    </row>
    <row r="47" spans="1:10" ht="15.75">
      <c r="A47" s="105">
        <v>8.1999999999999993</v>
      </c>
      <c r="B47" s="200" t="s">
        <v>318</v>
      </c>
      <c r="C47" s="215"/>
      <c r="D47" s="215"/>
      <c r="E47" s="237">
        <f t="shared" si="2"/>
        <v>0</v>
      </c>
      <c r="F47" s="215"/>
      <c r="G47" s="215"/>
      <c r="H47" s="216">
        <f t="shared" si="3"/>
        <v>0</v>
      </c>
      <c r="J47" s="635"/>
    </row>
    <row r="48" spans="1:10" ht="15.75">
      <c r="A48" s="105">
        <v>8.3000000000000007</v>
      </c>
      <c r="B48" s="200" t="s">
        <v>319</v>
      </c>
      <c r="C48" s="215"/>
      <c r="D48" s="215"/>
      <c r="E48" s="237">
        <f t="shared" si="2"/>
        <v>0</v>
      </c>
      <c r="F48" s="215"/>
      <c r="G48" s="215"/>
      <c r="H48" s="216">
        <f t="shared" si="3"/>
        <v>0</v>
      </c>
    </row>
    <row r="49" spans="1:8" ht="15.75">
      <c r="A49" s="105">
        <v>8.4</v>
      </c>
      <c r="B49" s="200" t="s">
        <v>320</v>
      </c>
      <c r="C49" s="215"/>
      <c r="D49" s="215"/>
      <c r="E49" s="237">
        <f t="shared" si="2"/>
        <v>0</v>
      </c>
      <c r="F49" s="215"/>
      <c r="G49" s="215"/>
      <c r="H49" s="216">
        <f t="shared" si="3"/>
        <v>0</v>
      </c>
    </row>
    <row r="50" spans="1:8" ht="15.75">
      <c r="A50" s="105">
        <v>8.5</v>
      </c>
      <c r="B50" s="200" t="s">
        <v>321</v>
      </c>
      <c r="C50" s="215"/>
      <c r="D50" s="215"/>
      <c r="E50" s="237">
        <f t="shared" si="2"/>
        <v>0</v>
      </c>
      <c r="F50" s="215"/>
      <c r="G50" s="215"/>
      <c r="H50" s="216">
        <f t="shared" si="3"/>
        <v>0</v>
      </c>
    </row>
    <row r="51" spans="1:8" ht="15.75">
      <c r="A51" s="105">
        <v>8.6</v>
      </c>
      <c r="B51" s="200" t="s">
        <v>322</v>
      </c>
      <c r="C51" s="215"/>
      <c r="D51" s="215"/>
      <c r="E51" s="237">
        <f t="shared" si="2"/>
        <v>0</v>
      </c>
      <c r="F51" s="215"/>
      <c r="G51" s="215"/>
      <c r="H51" s="216">
        <f t="shared" si="3"/>
        <v>0</v>
      </c>
    </row>
    <row r="52" spans="1:8" ht="15.75">
      <c r="A52" s="105">
        <v>8.6999999999999993</v>
      </c>
      <c r="B52" s="200" t="s">
        <v>323</v>
      </c>
      <c r="C52" s="215"/>
      <c r="D52" s="215"/>
      <c r="E52" s="237">
        <f t="shared" si="2"/>
        <v>0</v>
      </c>
      <c r="F52" s="215"/>
      <c r="G52" s="215"/>
      <c r="H52" s="216">
        <f t="shared" si="3"/>
        <v>0</v>
      </c>
    </row>
    <row r="53" spans="1:8" ht="26.25" thickBot="1">
      <c r="A53" s="203">
        <v>9</v>
      </c>
      <c r="B53" s="204" t="s">
        <v>324</v>
      </c>
      <c r="C53" s="238"/>
      <c r="D53" s="238"/>
      <c r="E53" s="239">
        <f t="shared" si="2"/>
        <v>0</v>
      </c>
      <c r="F53" s="238"/>
      <c r="G53" s="238"/>
      <c r="H53" s="222">
        <f t="shared" si="3"/>
        <v>0</v>
      </c>
    </row>
  </sheetData>
  <mergeCells count="4">
    <mergeCell ref="A5:A6"/>
    <mergeCell ref="B5:B6"/>
    <mergeCell ref="C5:E5"/>
    <mergeCell ref="F5:H5"/>
  </mergeCells>
  <pageMargins left="0.25" right="0.25"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140625" defaultRowHeight="12.75"/>
  <cols>
    <col min="1" max="1" width="9.5703125" style="1" bestFit="1" customWidth="1"/>
    <col min="2" max="2" width="93.5703125" style="1" customWidth="1"/>
    <col min="3" max="4" width="12.7109375" style="1" customWidth="1"/>
    <col min="5" max="7" width="10.85546875" style="9" bestFit="1" customWidth="1"/>
    <col min="8" max="11" width="9.7109375" style="9" customWidth="1"/>
    <col min="12" max="16384" width="9.140625" style="9"/>
  </cols>
  <sheetData>
    <row r="1" spans="1:7" ht="15">
      <c r="A1" s="13" t="s">
        <v>188</v>
      </c>
      <c r="B1" s="12" t="str">
        <f>Info!C2</f>
        <v>სს "კრედო ბანკი"</v>
      </c>
      <c r="C1" s="12"/>
    </row>
    <row r="2" spans="1:7" ht="15">
      <c r="A2" s="13" t="s">
        <v>189</v>
      </c>
      <c r="B2" s="419">
        <f>'1. key ratios'!B2</f>
        <v>44926</v>
      </c>
      <c r="C2" s="12"/>
    </row>
    <row r="3" spans="1:7" ht="15">
      <c r="A3" s="13"/>
      <c r="B3" s="12"/>
      <c r="C3" s="12"/>
    </row>
    <row r="4" spans="1:7" ht="15" customHeight="1" thickBot="1">
      <c r="A4" s="194" t="s">
        <v>331</v>
      </c>
      <c r="B4" s="195" t="s">
        <v>187</v>
      </c>
      <c r="C4" s="196" t="s">
        <v>93</v>
      </c>
    </row>
    <row r="5" spans="1:7" ht="15" customHeight="1">
      <c r="A5" s="192" t="s">
        <v>26</v>
      </c>
      <c r="B5" s="193"/>
      <c r="C5" s="420" t="str">
        <f>INT((MONTH($B$2))/3)&amp;"Q"&amp;"-"&amp;YEAR($B$2)</f>
        <v>4Q-2022</v>
      </c>
      <c r="D5" s="420" t="str">
        <f>IF(INT(MONTH($B$2))=3, "4"&amp;"Q"&amp;"-"&amp;YEAR($B$2)-1, IF(INT(MONTH($B$2))=6, "1"&amp;"Q"&amp;"-"&amp;YEAR($B$2), IF(INT(MONTH($B$2))=9, "2"&amp;"Q"&amp;"-"&amp;YEAR($B$2),IF(INT(MONTH($B$2))=12, "3"&amp;"Q"&amp;"-"&amp;YEAR($B$2), 0))))</f>
        <v>3Q-2022</v>
      </c>
      <c r="E5" s="420" t="str">
        <f>IF(INT(MONTH($B$2))=3, "3"&amp;"Q"&amp;"-"&amp;YEAR($B$2)-1, IF(INT(MONTH($B$2))=6, "4"&amp;"Q"&amp;"-"&amp;YEAR($B$2)-1, IF(INT(MONTH($B$2))=9, "1"&amp;"Q"&amp;"-"&amp;YEAR($B$2),IF(INT(MONTH($B$2))=12, "2"&amp;"Q"&amp;"-"&amp;YEAR($B$2), 0))))</f>
        <v>2Q-2022</v>
      </c>
      <c r="F5" s="420" t="str">
        <f>IF(INT(MONTH($B$2))=3, "2"&amp;"Q"&amp;"-"&amp;YEAR($B$2)-1, IF(INT(MONTH($B$2))=6, "3"&amp;"Q"&amp;"-"&amp;YEAR($B$2)-1, IF(INT(MONTH($B$2))=9, "4"&amp;"Q"&amp;"-"&amp;YEAR($B$2)-1,IF(INT(MONTH($B$2))=12, "1"&amp;"Q"&amp;"-"&amp;YEAR($B$2), 0))))</f>
        <v>1Q-2022</v>
      </c>
      <c r="G5" s="420" t="str">
        <f>IF(INT(MONTH($B$2))=3, "1"&amp;"Q"&amp;"-"&amp;YEAR($B$2)-1, IF(INT(MONTH($B$2))=6, "2"&amp;"Q"&amp;"-"&amp;YEAR($B$2)-1, IF(INT(MONTH($B$2))=9, "3"&amp;"Q"&amp;"-"&amp;YEAR($B$2)-1,IF(INT(MONTH($B$2))=12, "4"&amp;"Q"&amp;"-"&amp;YEAR($B$2)-1, 0))))</f>
        <v>4Q-2021</v>
      </c>
    </row>
    <row r="6" spans="1:7" ht="15" customHeight="1">
      <c r="A6" s="351">
        <v>1</v>
      </c>
      <c r="B6" s="406" t="s">
        <v>192</v>
      </c>
      <c r="C6" s="352">
        <f>C7+C9+C10</f>
        <v>1611326899.3576493</v>
      </c>
      <c r="D6" s="408">
        <f>D7+D9+D10</f>
        <v>1488009925.3866875</v>
      </c>
      <c r="E6" s="353">
        <f t="shared" ref="E6:G6" si="0">E7+E9+E10</f>
        <v>1408240981.0890594</v>
      </c>
      <c r="F6" s="352">
        <f t="shared" si="0"/>
        <v>1300531320.9891191</v>
      </c>
      <c r="G6" s="409">
        <f t="shared" si="0"/>
        <v>1302738555.0045171</v>
      </c>
    </row>
    <row r="7" spans="1:7" ht="15" customHeight="1">
      <c r="A7" s="351">
        <v>1.1000000000000001</v>
      </c>
      <c r="B7" s="354" t="s">
        <v>475</v>
      </c>
      <c r="C7" s="355">
        <v>1591836196.2376494</v>
      </c>
      <c r="D7" s="410">
        <v>1470499875.2916875</v>
      </c>
      <c r="E7" s="355">
        <v>1396226650.5390594</v>
      </c>
      <c r="F7" s="355">
        <v>1292252353.3328691</v>
      </c>
      <c r="G7" s="411">
        <v>1295844527.668267</v>
      </c>
    </row>
    <row r="8" spans="1:7" ht="25.5">
      <c r="A8" s="351" t="s">
        <v>251</v>
      </c>
      <c r="B8" s="356" t="s">
        <v>325</v>
      </c>
      <c r="C8" s="355"/>
      <c r="D8" s="410">
        <v>810408.24</v>
      </c>
      <c r="E8" s="355">
        <v>810408.24</v>
      </c>
      <c r="F8" s="355">
        <v>810408.24</v>
      </c>
      <c r="G8" s="411">
        <v>810408.24</v>
      </c>
    </row>
    <row r="9" spans="1:7" ht="15" customHeight="1">
      <c r="A9" s="351">
        <v>1.2</v>
      </c>
      <c r="B9" s="354" t="s">
        <v>22</v>
      </c>
      <c r="C9" s="355">
        <v>16071362</v>
      </c>
      <c r="D9" s="410">
        <v>15016504.375</v>
      </c>
      <c r="E9" s="355">
        <v>9681500.25</v>
      </c>
      <c r="F9" s="355">
        <v>7968837.65625</v>
      </c>
      <c r="G9" s="411">
        <v>6584267.3362499997</v>
      </c>
    </row>
    <row r="10" spans="1:7" ht="15" customHeight="1">
      <c r="A10" s="351">
        <v>1.3</v>
      </c>
      <c r="B10" s="407" t="s">
        <v>77</v>
      </c>
      <c r="C10" s="355">
        <v>3419341.12</v>
      </c>
      <c r="D10" s="410">
        <v>2493545.7200000002</v>
      </c>
      <c r="E10" s="355">
        <v>2332830.3000000003</v>
      </c>
      <c r="F10" s="355">
        <v>310130</v>
      </c>
      <c r="G10" s="411">
        <v>309760</v>
      </c>
    </row>
    <row r="11" spans="1:7" ht="15" customHeight="1">
      <c r="A11" s="351">
        <v>2</v>
      </c>
      <c r="B11" s="406" t="s">
        <v>193</v>
      </c>
      <c r="C11" s="355">
        <v>1155069.99000005</v>
      </c>
      <c r="D11" s="410">
        <v>1378076</v>
      </c>
      <c r="E11" s="355">
        <v>836949</v>
      </c>
      <c r="F11" s="355">
        <v>4349460</v>
      </c>
      <c r="G11" s="411">
        <v>1358496.962495995</v>
      </c>
    </row>
    <row r="12" spans="1:7" ht="15" customHeight="1">
      <c r="A12" s="351">
        <v>3</v>
      </c>
      <c r="B12" s="406" t="s">
        <v>191</v>
      </c>
      <c r="C12" s="355">
        <v>385081002.60068709</v>
      </c>
      <c r="D12" s="410">
        <v>351858011.60018724</v>
      </c>
      <c r="E12" s="355">
        <v>351858011.60018724</v>
      </c>
      <c r="F12" s="355">
        <v>351858011.60018724</v>
      </c>
      <c r="G12" s="411">
        <v>351858011.60018724</v>
      </c>
    </row>
    <row r="13" spans="1:7" ht="15" customHeight="1" thickBot="1">
      <c r="A13" s="118">
        <v>4</v>
      </c>
      <c r="B13" s="414" t="s">
        <v>252</v>
      </c>
      <c r="C13" s="240">
        <f>C6+C11+C12</f>
        <v>1997562971.9483364</v>
      </c>
      <c r="D13" s="412">
        <f>D6+D11+D12</f>
        <v>1841246012.9868748</v>
      </c>
      <c r="E13" s="241">
        <f t="shared" ref="E13:G13" si="1">E6+E11+E12</f>
        <v>1760935941.6892467</v>
      </c>
      <c r="F13" s="240">
        <f t="shared" si="1"/>
        <v>1656738792.5893064</v>
      </c>
      <c r="G13" s="413">
        <f t="shared" si="1"/>
        <v>1655955063.5672004</v>
      </c>
    </row>
    <row r="14" spans="1:7">
      <c r="B14" s="17"/>
    </row>
    <row r="15" spans="1:7" ht="25.5">
      <c r="B15" s="17" t="s">
        <v>476</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showGridLines="0" zoomScaleNormal="100" workbookViewId="0">
      <pane xSplit="1" ySplit="4" topLeftCell="B27" activePane="bottomRight" state="frozen"/>
      <selection pane="topRight" activeCell="B1" sqref="B1"/>
      <selection pane="bottomLeft" activeCell="A4" sqref="A4"/>
      <selection pane="bottomRight" activeCell="C32" sqref="C32:C39"/>
    </sheetView>
  </sheetViews>
  <sheetFormatPr defaultRowHeight="15"/>
  <cols>
    <col min="1" max="1" width="9.5703125" style="1" bestFit="1" customWidth="1"/>
    <col min="2" max="2" width="58.85546875" style="1" customWidth="1"/>
    <col min="3" max="3" width="41.140625" style="1" bestFit="1" customWidth="1"/>
  </cols>
  <sheetData>
    <row r="1" spans="1:8">
      <c r="A1" s="1" t="s">
        <v>188</v>
      </c>
      <c r="B1" s="1" t="str">
        <f>Info!C2</f>
        <v>სს "კრედო ბანკი"</v>
      </c>
    </row>
    <row r="2" spans="1:8">
      <c r="A2" s="1" t="s">
        <v>189</v>
      </c>
      <c r="B2" s="434">
        <f>'1. key ratios'!B2</f>
        <v>44926</v>
      </c>
    </row>
    <row r="3" spans="1:8" ht="13.5" customHeight="1"/>
    <row r="4" spans="1:8" ht="33.75" customHeight="1" thickBot="1">
      <c r="A4" s="205" t="s">
        <v>332</v>
      </c>
      <c r="B4" s="51" t="s">
        <v>149</v>
      </c>
      <c r="C4" s="10"/>
    </row>
    <row r="5" spans="1:8" ht="15.75">
      <c r="A5" s="8"/>
      <c r="B5" s="402" t="s">
        <v>150</v>
      </c>
      <c r="C5" s="417" t="s">
        <v>490</v>
      </c>
    </row>
    <row r="6" spans="1:8">
      <c r="A6" s="11">
        <v>1</v>
      </c>
      <c r="B6" s="52" t="s">
        <v>749</v>
      </c>
      <c r="C6" s="415" t="s">
        <v>750</v>
      </c>
    </row>
    <row r="7" spans="1:8">
      <c r="A7" s="11">
        <v>2</v>
      </c>
      <c r="B7" s="52" t="s">
        <v>778</v>
      </c>
      <c r="C7" s="415" t="s">
        <v>751</v>
      </c>
    </row>
    <row r="8" spans="1:8">
      <c r="A8" s="11">
        <v>3</v>
      </c>
      <c r="B8" s="52" t="s">
        <v>752</v>
      </c>
      <c r="C8" s="415" t="s">
        <v>753</v>
      </c>
    </row>
    <row r="9" spans="1:8">
      <c r="A9" s="11">
        <v>4</v>
      </c>
      <c r="B9" s="52" t="s">
        <v>754</v>
      </c>
      <c r="C9" s="415" t="s">
        <v>750</v>
      </c>
    </row>
    <row r="10" spans="1:8">
      <c r="A10" s="11">
        <v>5</v>
      </c>
      <c r="B10" s="52" t="s">
        <v>755</v>
      </c>
      <c r="C10" s="415" t="s">
        <v>753</v>
      </c>
    </row>
    <row r="11" spans="1:8">
      <c r="A11" s="11">
        <v>6</v>
      </c>
      <c r="B11" s="52" t="s">
        <v>782</v>
      </c>
      <c r="C11" s="415" t="s">
        <v>753</v>
      </c>
    </row>
    <row r="12" spans="1:8">
      <c r="A12" s="11"/>
      <c r="B12" s="52"/>
      <c r="C12" s="415"/>
      <c r="H12" s="2"/>
    </row>
    <row r="13" spans="1:8" ht="45">
      <c r="A13" s="11"/>
      <c r="B13" s="403" t="s">
        <v>151</v>
      </c>
      <c r="C13" s="418" t="s">
        <v>491</v>
      </c>
    </row>
    <row r="14" spans="1:8" ht="15.75">
      <c r="A14" s="11">
        <v>1</v>
      </c>
      <c r="B14" s="21" t="s">
        <v>741</v>
      </c>
      <c r="C14" s="416" t="s">
        <v>756</v>
      </c>
    </row>
    <row r="15" spans="1:8" ht="15.75">
      <c r="A15" s="11">
        <v>2</v>
      </c>
      <c r="B15" s="21" t="s">
        <v>757</v>
      </c>
      <c r="C15" s="416" t="s">
        <v>758</v>
      </c>
    </row>
    <row r="16" spans="1:8" ht="15.75">
      <c r="A16" s="11">
        <v>3</v>
      </c>
      <c r="B16" s="21" t="s">
        <v>759</v>
      </c>
      <c r="C16" s="416" t="s">
        <v>760</v>
      </c>
    </row>
    <row r="17" spans="1:3" ht="15.75">
      <c r="A17" s="11">
        <v>4</v>
      </c>
      <c r="B17" s="21" t="s">
        <v>761</v>
      </c>
      <c r="C17" s="416" t="s">
        <v>762</v>
      </c>
    </row>
    <row r="18" spans="1:3" ht="15.75">
      <c r="A18" s="11">
        <v>5</v>
      </c>
      <c r="B18" s="21" t="s">
        <v>763</v>
      </c>
      <c r="C18" s="416" t="s">
        <v>764</v>
      </c>
    </row>
    <row r="19" spans="1:3" ht="15.75">
      <c r="A19" s="11">
        <v>6</v>
      </c>
      <c r="B19" s="21" t="s">
        <v>779</v>
      </c>
      <c r="C19" s="416" t="s">
        <v>780</v>
      </c>
    </row>
    <row r="20" spans="1:3" ht="15.75">
      <c r="A20" s="11"/>
      <c r="B20" s="21"/>
      <c r="C20" s="416"/>
    </row>
    <row r="21" spans="1:3" ht="30" customHeight="1">
      <c r="A21" s="11"/>
      <c r="B21" s="664" t="s">
        <v>152</v>
      </c>
      <c r="C21" s="665"/>
    </row>
    <row r="22" spans="1:3">
      <c r="A22" s="11">
        <v>1</v>
      </c>
      <c r="B22" s="585" t="s">
        <v>765</v>
      </c>
      <c r="C22" s="586">
        <v>0.51070000000000004</v>
      </c>
    </row>
    <row r="23" spans="1:3">
      <c r="A23" s="583">
        <v>2</v>
      </c>
      <c r="B23" s="585" t="s">
        <v>766</v>
      </c>
      <c r="C23" s="586">
        <v>8.4000000000000005E-2</v>
      </c>
    </row>
    <row r="24" spans="1:3">
      <c r="A24" s="11">
        <v>3</v>
      </c>
      <c r="B24" s="585" t="s">
        <v>767</v>
      </c>
      <c r="C24" s="586">
        <v>8.4000000000000005E-2</v>
      </c>
    </row>
    <row r="25" spans="1:3">
      <c r="A25" s="583">
        <v>4</v>
      </c>
      <c r="B25" s="585" t="s">
        <v>768</v>
      </c>
      <c r="C25" s="586">
        <v>7.9200000000000007E-2</v>
      </c>
    </row>
    <row r="26" spans="1:3" ht="27">
      <c r="A26" s="11">
        <v>5</v>
      </c>
      <c r="B26" s="585" t="s">
        <v>769</v>
      </c>
      <c r="C26" s="586">
        <v>7.46E-2</v>
      </c>
    </row>
    <row r="27" spans="1:3" ht="27">
      <c r="A27" s="583">
        <v>6</v>
      </c>
      <c r="B27" s="585" t="s">
        <v>770</v>
      </c>
      <c r="C27" s="586">
        <v>1.5900000000000001E-2</v>
      </c>
    </row>
    <row r="28" spans="1:3" ht="27">
      <c r="A28" s="11">
        <v>7</v>
      </c>
      <c r="B28" s="585" t="s">
        <v>771</v>
      </c>
      <c r="C28" s="586">
        <v>0.14929999999999999</v>
      </c>
    </row>
    <row r="29" spans="1:3">
      <c r="A29" s="583"/>
      <c r="B29" s="584"/>
      <c r="C29" s="53"/>
    </row>
    <row r="30" spans="1:3" ht="15.75" customHeight="1">
      <c r="A30" s="11"/>
      <c r="B30" s="52"/>
      <c r="C30" s="53"/>
    </row>
    <row r="31" spans="1:3" ht="29.25" customHeight="1">
      <c r="A31" s="11"/>
      <c r="B31" s="664" t="s">
        <v>272</v>
      </c>
      <c r="C31" s="665"/>
    </row>
    <row r="32" spans="1:3">
      <c r="A32" s="11">
        <v>1</v>
      </c>
      <c r="B32" s="52" t="s">
        <v>783</v>
      </c>
      <c r="C32" s="589">
        <v>6.0385566840000002E-2</v>
      </c>
    </row>
    <row r="33" spans="1:3">
      <c r="A33" s="587">
        <v>2</v>
      </c>
      <c r="B33" s="588" t="s">
        <v>772</v>
      </c>
      <c r="C33" s="590">
        <v>6.0385566840000002E-2</v>
      </c>
    </row>
    <row r="34" spans="1:3">
      <c r="A34" s="11">
        <v>3</v>
      </c>
      <c r="B34" s="588" t="s">
        <v>773</v>
      </c>
      <c r="C34" s="590">
        <v>7.6018378560000016E-2</v>
      </c>
    </row>
    <row r="35" spans="1:3">
      <c r="A35" s="587">
        <v>4</v>
      </c>
      <c r="B35" s="588" t="s">
        <v>774</v>
      </c>
      <c r="C35" s="590">
        <v>6.4932365020000007E-2</v>
      </c>
    </row>
    <row r="36" spans="1:3">
      <c r="A36" s="11">
        <v>5</v>
      </c>
      <c r="B36" s="588" t="s">
        <v>775</v>
      </c>
      <c r="C36" s="590">
        <v>0.12143527274</v>
      </c>
    </row>
    <row r="37" spans="1:3">
      <c r="A37" s="587">
        <v>6</v>
      </c>
      <c r="B37" s="588" t="s">
        <v>776</v>
      </c>
      <c r="C37" s="590">
        <v>7.2861163643999999E-2</v>
      </c>
    </row>
    <row r="38" spans="1:3">
      <c r="A38" s="11">
        <v>7</v>
      </c>
      <c r="B38" s="588" t="s">
        <v>784</v>
      </c>
      <c r="C38" s="590">
        <v>5.726922202000001E-2</v>
      </c>
    </row>
    <row r="39" spans="1:3" ht="15.75" thickBot="1">
      <c r="A39" s="583">
        <v>8</v>
      </c>
      <c r="B39" s="592" t="s">
        <v>777</v>
      </c>
      <c r="C39" s="591">
        <v>0.11055585160427807</v>
      </c>
    </row>
  </sheetData>
  <mergeCells count="2">
    <mergeCell ref="B31:C31"/>
    <mergeCell ref="B21:C21"/>
  </mergeCells>
  <dataValidations count="1">
    <dataValidation type="list" allowBlank="1" showInputMessage="1" showErrorMessage="1" sqref="C6:C12"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Normal="100" workbookViewId="0">
      <pane xSplit="1" ySplit="5" topLeftCell="B14" activePane="bottomRight" state="frozen"/>
      <selection activeCell="H6" sqref="H6"/>
      <selection pane="topRight" activeCell="H6" sqref="H6"/>
      <selection pane="bottomLeft" activeCell="H6" sqref="H6"/>
      <selection pane="bottomRight" activeCell="C16" sqref="C16:D20"/>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5" ht="15.75">
      <c r="A1" s="13" t="s">
        <v>188</v>
      </c>
      <c r="B1" s="12" t="str">
        <f>Info!C2</f>
        <v>სს "კრედო ბანკი"</v>
      </c>
    </row>
    <row r="2" spans="1:5" s="13" customFormat="1" ht="15.75" customHeight="1">
      <c r="A2" s="13" t="s">
        <v>189</v>
      </c>
      <c r="B2" s="434">
        <f>'1. key ratios'!B2</f>
        <v>44926</v>
      </c>
    </row>
    <row r="3" spans="1:5" s="13" customFormat="1" ht="15.75" customHeight="1"/>
    <row r="4" spans="1:5" s="13" customFormat="1" ht="15.75" customHeight="1" thickBot="1">
      <c r="A4" s="206" t="s">
        <v>333</v>
      </c>
      <c r="B4" s="207" t="s">
        <v>262</v>
      </c>
      <c r="C4" s="171"/>
      <c r="D4" s="171"/>
      <c r="E4" s="172" t="s">
        <v>93</v>
      </c>
    </row>
    <row r="5" spans="1:5" s="106" customFormat="1" ht="17.45" customHeight="1">
      <c r="A5" s="322"/>
      <c r="B5" s="323"/>
      <c r="C5" s="170" t="s">
        <v>0</v>
      </c>
      <c r="D5" s="170" t="s">
        <v>1</v>
      </c>
      <c r="E5" s="324" t="s">
        <v>2</v>
      </c>
    </row>
    <row r="6" spans="1:5" ht="14.45" customHeight="1">
      <c r="A6" s="325"/>
      <c r="B6" s="666" t="s">
        <v>231</v>
      </c>
      <c r="C6" s="666" t="s">
        <v>230</v>
      </c>
      <c r="D6" s="667" t="s">
        <v>229</v>
      </c>
      <c r="E6" s="668"/>
    </row>
    <row r="7" spans="1:5" ht="99.6" customHeight="1">
      <c r="A7" s="325"/>
      <c r="B7" s="666"/>
      <c r="C7" s="666"/>
      <c r="D7" s="320" t="s">
        <v>228</v>
      </c>
      <c r="E7" s="321" t="s">
        <v>393</v>
      </c>
    </row>
    <row r="8" spans="1:5">
      <c r="A8" s="326">
        <v>1</v>
      </c>
      <c r="B8" s="327" t="s">
        <v>154</v>
      </c>
      <c r="C8" s="328">
        <v>78302411.729999989</v>
      </c>
      <c r="D8" s="328"/>
      <c r="E8" s="329">
        <f>C8-D8</f>
        <v>78302411.729999989</v>
      </c>
    </row>
    <row r="9" spans="1:5">
      <c r="A9" s="326">
        <v>2</v>
      </c>
      <c r="B9" s="327" t="s">
        <v>155</v>
      </c>
      <c r="C9" s="328">
        <v>106602075.93000001</v>
      </c>
      <c r="D9" s="328"/>
      <c r="E9" s="329">
        <f t="shared" ref="E9:E20" si="0">C9-D9</f>
        <v>106602075.93000001</v>
      </c>
    </row>
    <row r="10" spans="1:5">
      <c r="A10" s="326">
        <v>3</v>
      </c>
      <c r="B10" s="327" t="s">
        <v>227</v>
      </c>
      <c r="C10" s="328">
        <v>113644774.78000002</v>
      </c>
      <c r="D10" s="328"/>
      <c r="E10" s="329">
        <f t="shared" si="0"/>
        <v>113644774.78000002</v>
      </c>
    </row>
    <row r="11" spans="1:5" ht="25.5">
      <c r="A11" s="326">
        <v>4</v>
      </c>
      <c r="B11" s="327" t="s">
        <v>185</v>
      </c>
      <c r="C11" s="328">
        <v>0</v>
      </c>
      <c r="D11" s="328"/>
      <c r="E11" s="329">
        <f t="shared" si="0"/>
        <v>0</v>
      </c>
    </row>
    <row r="12" spans="1:5">
      <c r="A12" s="326">
        <v>5</v>
      </c>
      <c r="B12" s="327" t="s">
        <v>157</v>
      </c>
      <c r="C12" s="328">
        <v>47908709.230000004</v>
      </c>
      <c r="D12" s="328"/>
      <c r="E12" s="329">
        <f t="shared" si="0"/>
        <v>47908709.230000004</v>
      </c>
    </row>
    <row r="13" spans="1:5">
      <c r="A13" s="326">
        <v>6.1</v>
      </c>
      <c r="B13" s="327" t="s">
        <v>158</v>
      </c>
      <c r="C13" s="330">
        <v>1792622194.0719001</v>
      </c>
      <c r="D13" s="328"/>
      <c r="E13" s="329">
        <f t="shared" si="0"/>
        <v>1792622194.0719001</v>
      </c>
    </row>
    <row r="14" spans="1:5">
      <c r="A14" s="326">
        <v>6.2</v>
      </c>
      <c r="B14" s="331" t="s">
        <v>159</v>
      </c>
      <c r="C14" s="330">
        <v>-59535081.673600011</v>
      </c>
      <c r="D14" s="328"/>
      <c r="E14" s="329">
        <f t="shared" si="0"/>
        <v>-59535081.673600011</v>
      </c>
    </row>
    <row r="15" spans="1:5">
      <c r="A15" s="326">
        <v>6</v>
      </c>
      <c r="B15" s="327" t="s">
        <v>226</v>
      </c>
      <c r="C15" s="328">
        <f>C13+C14</f>
        <v>1733087112.3983002</v>
      </c>
      <c r="D15" s="328"/>
      <c r="E15" s="329">
        <f t="shared" si="0"/>
        <v>1733087112.3983002</v>
      </c>
    </row>
    <row r="16" spans="1:5" ht="25.5">
      <c r="A16" s="326">
        <v>7</v>
      </c>
      <c r="B16" s="327" t="s">
        <v>161</v>
      </c>
      <c r="C16" s="328">
        <v>26243070.899999999</v>
      </c>
      <c r="D16" s="328"/>
      <c r="E16" s="329">
        <f t="shared" si="0"/>
        <v>26243070.899999999</v>
      </c>
    </row>
    <row r="17" spans="1:7">
      <c r="A17" s="326">
        <v>8</v>
      </c>
      <c r="B17" s="327" t="s">
        <v>162</v>
      </c>
      <c r="C17" s="328">
        <v>2229828</v>
      </c>
      <c r="D17" s="328"/>
      <c r="E17" s="329">
        <f t="shared" si="0"/>
        <v>2229828</v>
      </c>
      <c r="F17" s="3"/>
      <c r="G17" s="3"/>
    </row>
    <row r="18" spans="1:7">
      <c r="A18" s="326">
        <v>9</v>
      </c>
      <c r="B18" s="327" t="s">
        <v>163</v>
      </c>
      <c r="C18" s="328">
        <v>0</v>
      </c>
      <c r="D18" s="328"/>
      <c r="E18" s="329">
        <f t="shared" si="0"/>
        <v>0</v>
      </c>
      <c r="G18" s="3"/>
    </row>
    <row r="19" spans="1:7" ht="25.5">
      <c r="A19" s="326">
        <v>10</v>
      </c>
      <c r="B19" s="327" t="s">
        <v>164</v>
      </c>
      <c r="C19" s="328">
        <v>49049196.390000001</v>
      </c>
      <c r="D19" s="328">
        <v>15054269</v>
      </c>
      <c r="E19" s="329">
        <f t="shared" si="0"/>
        <v>33994927.390000001</v>
      </c>
      <c r="G19" s="3"/>
    </row>
    <row r="20" spans="1:7">
      <c r="A20" s="326">
        <v>11</v>
      </c>
      <c r="B20" s="327" t="s">
        <v>165</v>
      </c>
      <c r="C20" s="328">
        <v>46955697.5</v>
      </c>
      <c r="D20" s="328"/>
      <c r="E20" s="329">
        <f t="shared" si="0"/>
        <v>46955697.5</v>
      </c>
    </row>
    <row r="21" spans="1:7" ht="51.75" thickBot="1">
      <c r="A21" s="332"/>
      <c r="B21" s="333" t="s">
        <v>367</v>
      </c>
      <c r="C21" s="288">
        <f>SUM(C8:C12, C15:C20)</f>
        <v>2204022876.8583002</v>
      </c>
      <c r="D21" s="288">
        <f>SUM(D8:D12, D15:D20)</f>
        <v>15054269</v>
      </c>
      <c r="E21" s="334">
        <f>SUM(E8:E12, E15:E20)</f>
        <v>2188968607.8583002</v>
      </c>
    </row>
    <row r="22" spans="1:7">
      <c r="A22"/>
      <c r="B22"/>
      <c r="C22"/>
      <c r="D22"/>
      <c r="E22"/>
    </row>
    <row r="23" spans="1:7">
      <c r="A23"/>
      <c r="B23"/>
      <c r="C23"/>
      <c r="D23"/>
      <c r="E23"/>
    </row>
    <row r="25" spans="1:7" s="1" customFormat="1">
      <c r="B25" s="55"/>
      <c r="F25"/>
      <c r="G25"/>
    </row>
    <row r="26" spans="1:7" s="1" customFormat="1">
      <c r="B26" s="56"/>
      <c r="F26"/>
      <c r="G26"/>
    </row>
    <row r="27" spans="1:7" s="1" customFormat="1">
      <c r="B27" s="55"/>
      <c r="F27"/>
      <c r="G27"/>
    </row>
    <row r="28" spans="1:7" s="1" customFormat="1">
      <c r="B28" s="55"/>
      <c r="F28"/>
      <c r="G28"/>
    </row>
    <row r="29" spans="1:7" s="1" customFormat="1">
      <c r="B29" s="55"/>
      <c r="F29"/>
      <c r="G29"/>
    </row>
    <row r="30" spans="1:7" s="1" customFormat="1">
      <c r="B30" s="55"/>
      <c r="F30"/>
      <c r="G30"/>
    </row>
    <row r="31" spans="1:7" s="1" customFormat="1">
      <c r="B31" s="55"/>
      <c r="F31"/>
      <c r="G31"/>
    </row>
    <row r="32" spans="1:7" s="1" customFormat="1">
      <c r="B32" s="56"/>
      <c r="F32"/>
      <c r="G32"/>
    </row>
    <row r="33" spans="2:7" s="1" customFormat="1">
      <c r="B33" s="56"/>
      <c r="F33"/>
      <c r="G33"/>
    </row>
    <row r="34" spans="2:7" s="1" customFormat="1">
      <c r="B34" s="56"/>
      <c r="F34"/>
      <c r="G34"/>
    </row>
    <row r="35" spans="2:7" s="1" customFormat="1">
      <c r="B35" s="56"/>
      <c r="F35"/>
      <c r="G35"/>
    </row>
    <row r="36" spans="2:7" s="1" customFormat="1">
      <c r="B36" s="56"/>
      <c r="F36"/>
      <c r="G36"/>
    </row>
    <row r="37" spans="2:7" s="1" customFormat="1">
      <c r="B37" s="56"/>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1"/>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3" t="s">
        <v>188</v>
      </c>
      <c r="B1" s="12" t="str">
        <f>Info!C2</f>
        <v>სს "კრედო ბანკი"</v>
      </c>
    </row>
    <row r="2" spans="1:6" s="13" customFormat="1" ht="15.75" customHeight="1">
      <c r="A2" s="13" t="s">
        <v>189</v>
      </c>
      <c r="B2" s="434">
        <f>'1. key ratios'!B2</f>
        <v>44926</v>
      </c>
      <c r="C2"/>
      <c r="D2"/>
      <c r="E2"/>
      <c r="F2"/>
    </row>
    <row r="3" spans="1:6" s="13" customFormat="1" ht="15.75" customHeight="1">
      <c r="C3"/>
      <c r="D3"/>
      <c r="E3"/>
      <c r="F3"/>
    </row>
    <row r="4" spans="1:6" s="13" customFormat="1" ht="26.25" thickBot="1">
      <c r="A4" s="13" t="s">
        <v>334</v>
      </c>
      <c r="B4" s="178" t="s">
        <v>265</v>
      </c>
      <c r="C4" s="172" t="s">
        <v>93</v>
      </c>
      <c r="D4"/>
      <c r="E4"/>
      <c r="F4"/>
    </row>
    <row r="5" spans="1:6" ht="26.25">
      <c r="A5" s="173">
        <v>1</v>
      </c>
      <c r="B5" s="174" t="s">
        <v>341</v>
      </c>
      <c r="C5" s="242">
        <f>'7. LI1'!E21</f>
        <v>2188968607.8583002</v>
      </c>
    </row>
    <row r="6" spans="1:6">
      <c r="A6" s="105">
        <v>2.1</v>
      </c>
      <c r="B6" s="180" t="s">
        <v>266</v>
      </c>
      <c r="C6" s="243">
        <v>45297232.469999999</v>
      </c>
    </row>
    <row r="7" spans="1:6" s="2" customFormat="1" ht="25.5" outlineLevel="1">
      <c r="A7" s="179">
        <v>2.2000000000000002</v>
      </c>
      <c r="B7" s="175" t="s">
        <v>267</v>
      </c>
      <c r="C7" s="244">
        <v>170967056</v>
      </c>
    </row>
    <row r="8" spans="1:6" s="2" customFormat="1" ht="26.25">
      <c r="A8" s="179">
        <v>3</v>
      </c>
      <c r="B8" s="176" t="s">
        <v>342</v>
      </c>
      <c r="C8" s="245">
        <f>SUM(C5:C7)</f>
        <v>2405232896.3283</v>
      </c>
    </row>
    <row r="9" spans="1:6">
      <c r="A9" s="105">
        <v>4</v>
      </c>
      <c r="B9" s="183" t="s">
        <v>263</v>
      </c>
      <c r="C9" s="243">
        <v>33985621.839699998</v>
      </c>
    </row>
    <row r="10" spans="1:6" s="2" customFormat="1" ht="25.5" outlineLevel="1">
      <c r="A10" s="179">
        <v>5.0999999999999996</v>
      </c>
      <c r="B10" s="175" t="s">
        <v>273</v>
      </c>
      <c r="C10" s="244">
        <v>-25127984.969999999</v>
      </c>
    </row>
    <row r="11" spans="1:6" s="2" customFormat="1" ht="25.5" outlineLevel="1">
      <c r="A11" s="179">
        <v>5.2</v>
      </c>
      <c r="B11" s="175" t="s">
        <v>274</v>
      </c>
      <c r="C11" s="244">
        <v>-167547714.88</v>
      </c>
    </row>
    <row r="12" spans="1:6" s="2" customFormat="1">
      <c r="A12" s="179">
        <v>6</v>
      </c>
      <c r="B12" s="181" t="s">
        <v>477</v>
      </c>
      <c r="C12" s="244"/>
    </row>
    <row r="13" spans="1:6" s="2" customFormat="1" ht="15.75" thickBot="1">
      <c r="A13" s="182">
        <v>7</v>
      </c>
      <c r="B13" s="177" t="s">
        <v>264</v>
      </c>
      <c r="C13" s="246">
        <f>SUM(C8:C12)</f>
        <v>2246542818.3180003</v>
      </c>
    </row>
    <row r="15" spans="1:6" ht="26.25">
      <c r="B15" s="17" t="s">
        <v>478</v>
      </c>
    </row>
    <row r="17" spans="2:9" s="1" customFormat="1">
      <c r="B17" s="57"/>
      <c r="C17"/>
      <c r="D17"/>
      <c r="E17"/>
      <c r="F17"/>
      <c r="G17"/>
      <c r="H17"/>
      <c r="I17"/>
    </row>
    <row r="18" spans="2:9" s="1" customFormat="1">
      <c r="B18" s="54"/>
      <c r="C18"/>
      <c r="D18"/>
      <c r="E18"/>
      <c r="F18"/>
      <c r="G18"/>
      <c r="H18"/>
      <c r="I18"/>
    </row>
    <row r="19" spans="2:9" s="1" customFormat="1">
      <c r="B19" s="54"/>
      <c r="C19"/>
      <c r="D19"/>
      <c r="E19"/>
      <c r="F19"/>
      <c r="G19"/>
      <c r="H19"/>
      <c r="I19"/>
    </row>
    <row r="20" spans="2:9" s="1" customFormat="1">
      <c r="B20" s="56"/>
      <c r="C20"/>
      <c r="D20"/>
      <c r="E20"/>
      <c r="F20"/>
      <c r="G20"/>
      <c r="H20"/>
      <c r="I20"/>
    </row>
    <row r="21" spans="2:9" s="1" customFormat="1">
      <c r="B21" s="55"/>
      <c r="C21"/>
      <c r="D21"/>
      <c r="E21"/>
      <c r="F21"/>
      <c r="G21"/>
      <c r="H21"/>
      <c r="I21"/>
    </row>
    <row r="22" spans="2:9" s="1" customFormat="1">
      <c r="B22" s="56"/>
      <c r="C22"/>
      <c r="D22"/>
      <c r="E22"/>
      <c r="F22"/>
      <c r="G22"/>
      <c r="H22"/>
      <c r="I22"/>
    </row>
    <row r="23" spans="2:9" s="1" customFormat="1">
      <c r="B23" s="55"/>
      <c r="C23"/>
      <c r="D23"/>
      <c r="E23"/>
      <c r="F23"/>
      <c r="G23"/>
      <c r="H23"/>
      <c r="I23"/>
    </row>
    <row r="24" spans="2:9" s="1" customFormat="1">
      <c r="B24" s="55"/>
      <c r="C24"/>
      <c r="D24"/>
      <c r="E24"/>
      <c r="F24"/>
      <c r="G24"/>
      <c r="H24"/>
      <c r="I24"/>
    </row>
    <row r="25" spans="2:9" s="1" customFormat="1">
      <c r="B25" s="55"/>
      <c r="C25"/>
      <c r="D25"/>
      <c r="E25"/>
      <c r="F25"/>
      <c r="G25"/>
      <c r="H25"/>
      <c r="I25"/>
    </row>
    <row r="26" spans="2:9" s="1" customFormat="1">
      <c r="B26" s="55"/>
      <c r="C26"/>
      <c r="D26"/>
      <c r="E26"/>
      <c r="F26"/>
      <c r="G26"/>
      <c r="H26"/>
      <c r="I26"/>
    </row>
    <row r="27" spans="2:9" s="1" customFormat="1">
      <c r="B27" s="55"/>
      <c r="C27"/>
      <c r="D27"/>
      <c r="E27"/>
      <c r="F27"/>
      <c r="G27"/>
      <c r="H27"/>
      <c r="I27"/>
    </row>
    <row r="28" spans="2:9" s="1" customFormat="1">
      <c r="B28" s="56"/>
      <c r="C28"/>
      <c r="D28"/>
      <c r="E28"/>
      <c r="F28"/>
      <c r="G28"/>
      <c r="H28"/>
      <c r="I28"/>
    </row>
    <row r="29" spans="2:9" s="1" customFormat="1">
      <c r="B29" s="56"/>
      <c r="C29"/>
      <c r="D29"/>
      <c r="E29"/>
      <c r="F29"/>
      <c r="G29"/>
      <c r="H29"/>
      <c r="I29"/>
    </row>
    <row r="30" spans="2:9" s="1" customFormat="1">
      <c r="B30" s="56"/>
      <c r="C30"/>
      <c r="D30"/>
      <c r="E30"/>
      <c r="F30"/>
      <c r="G30"/>
      <c r="H30"/>
      <c r="I30"/>
    </row>
    <row r="31" spans="2:9" s="1" customFormat="1">
      <c r="B31" s="56"/>
      <c r="C31"/>
      <c r="D31"/>
      <c r="E31"/>
      <c r="F31"/>
      <c r="G31"/>
      <c r="H31"/>
      <c r="I31"/>
    </row>
    <row r="32" spans="2:9" s="1" customFormat="1">
      <c r="B32" s="56"/>
      <c r="C32"/>
      <c r="D32"/>
      <c r="E32"/>
      <c r="F32"/>
      <c r="G32"/>
      <c r="H32"/>
      <c r="I32"/>
    </row>
    <row r="33" spans="2:9" s="1" customFormat="1">
      <c r="B33" s="56"/>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C2A14ECB-D179-4E57-B9E0-823CF44C550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2023-02-10T07:40:38Z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