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89BEFE67-FC23-4AC3-92DB-E6FF64F2E1C2}" xr6:coauthVersionLast="47" xr6:coauthVersionMax="47" xr10:uidLastSave="{00000000-0000-0000-0000-000000000000}"/>
  <bookViews>
    <workbookView xWindow="-108" yWindow="-108" windowWidth="23256" windowHeight="12576" tabRatio="923" firstSheet="19" activeTab="28"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7" l="1"/>
  <c r="C19" i="117"/>
  <c r="C20" i="117"/>
  <c r="C21" i="117"/>
  <c r="C22" i="117"/>
  <c r="C17" i="117"/>
  <c r="C12" i="117"/>
  <c r="C13" i="117"/>
  <c r="C14" i="117"/>
  <c r="C15" i="117"/>
  <c r="C11" i="117"/>
  <c r="C9" i="117"/>
  <c r="C27" i="116" l="1"/>
  <c r="C14" i="116"/>
  <c r="C13" i="116"/>
  <c r="D22" i="112"/>
  <c r="F14" i="97" l="1"/>
  <c r="E14" i="97"/>
  <c r="D14" i="97"/>
  <c r="C14" i="97"/>
  <c r="G37" i="109" l="1"/>
  <c r="F37" i="109"/>
  <c r="I19" i="120" l="1"/>
  <c r="L19" i="120"/>
  <c r="D19" i="120"/>
  <c r="E19" i="120"/>
  <c r="F19" i="120"/>
  <c r="G19" i="120"/>
  <c r="M20" i="120"/>
  <c r="H20" i="120"/>
  <c r="C20" i="120"/>
  <c r="M18" i="120"/>
  <c r="H18" i="120"/>
  <c r="C18" i="120"/>
  <c r="M17" i="120"/>
  <c r="H17" i="120"/>
  <c r="C17" i="120"/>
  <c r="M16" i="120"/>
  <c r="H16" i="120"/>
  <c r="C16" i="120"/>
  <c r="M15" i="120"/>
  <c r="H15" i="120"/>
  <c r="C15" i="120"/>
  <c r="M14" i="120"/>
  <c r="H14" i="120"/>
  <c r="C14" i="120"/>
  <c r="R13" i="120"/>
  <c r="R19" i="120" s="1"/>
  <c r="Q13" i="120"/>
  <c r="Q19" i="120" s="1"/>
  <c r="P13" i="120"/>
  <c r="P19" i="120" s="1"/>
  <c r="O13" i="120"/>
  <c r="O19" i="120" s="1"/>
  <c r="N13" i="120"/>
  <c r="N19" i="120" s="1"/>
  <c r="L13" i="120"/>
  <c r="K13" i="120"/>
  <c r="K19" i="120" s="1"/>
  <c r="J13" i="120"/>
  <c r="J19" i="120" s="1"/>
  <c r="I13" i="120"/>
  <c r="H13" i="120" s="1"/>
  <c r="C13" i="120"/>
  <c r="M12" i="120"/>
  <c r="H12" i="120"/>
  <c r="C12" i="120"/>
  <c r="M11" i="120"/>
  <c r="H11" i="120"/>
  <c r="C11" i="120"/>
  <c r="M10" i="120"/>
  <c r="H10" i="120"/>
  <c r="C10" i="120"/>
  <c r="M9" i="120"/>
  <c r="H9" i="120"/>
  <c r="C9" i="120"/>
  <c r="M8" i="120"/>
  <c r="H8" i="120"/>
  <c r="C8" i="120"/>
  <c r="M7" i="120"/>
  <c r="H7" i="120"/>
  <c r="C7" i="120"/>
  <c r="L33" i="118"/>
  <c r="K33" i="118"/>
  <c r="J33" i="118"/>
  <c r="I33" i="118"/>
  <c r="G33" i="118"/>
  <c r="F33" i="118"/>
  <c r="E33" i="118"/>
  <c r="D33" i="118"/>
  <c r="H32" i="118"/>
  <c r="C32" i="118"/>
  <c r="H31" i="118"/>
  <c r="C31" i="118"/>
  <c r="H30" i="118"/>
  <c r="C30" i="118"/>
  <c r="H29" i="118"/>
  <c r="C29" i="118"/>
  <c r="H28" i="118"/>
  <c r="C28" i="118"/>
  <c r="H27" i="118"/>
  <c r="C27" i="118"/>
  <c r="H26" i="118"/>
  <c r="C26" i="118"/>
  <c r="H25" i="118"/>
  <c r="C25" i="118"/>
  <c r="H24" i="118"/>
  <c r="C24" i="118"/>
  <c r="H23" i="118"/>
  <c r="C23" i="118"/>
  <c r="H22" i="118"/>
  <c r="C22" i="118"/>
  <c r="H21" i="118"/>
  <c r="C21" i="118"/>
  <c r="H20" i="118"/>
  <c r="C20" i="118"/>
  <c r="H19" i="118"/>
  <c r="C19" i="118"/>
  <c r="H18" i="118"/>
  <c r="C18" i="118"/>
  <c r="H17" i="118"/>
  <c r="C17" i="118"/>
  <c r="H16" i="118"/>
  <c r="C16" i="118"/>
  <c r="H15" i="118"/>
  <c r="C15" i="118"/>
  <c r="H14" i="118"/>
  <c r="C14" i="118"/>
  <c r="H13" i="118"/>
  <c r="C13" i="118"/>
  <c r="H12" i="118"/>
  <c r="C12" i="118"/>
  <c r="H11" i="118"/>
  <c r="C11" i="118"/>
  <c r="H10" i="118"/>
  <c r="C10" i="118"/>
  <c r="H9" i="118"/>
  <c r="C9" i="118"/>
  <c r="H8" i="118"/>
  <c r="C8" i="118"/>
  <c r="H7" i="118"/>
  <c r="C7" i="118"/>
  <c r="AA10" i="117"/>
  <c r="Z10" i="117"/>
  <c r="Y10" i="117"/>
  <c r="X10" i="117"/>
  <c r="W10" i="117"/>
  <c r="V10" i="117"/>
  <c r="U10" i="117"/>
  <c r="T10" i="117"/>
  <c r="S10" i="117"/>
  <c r="R10" i="117"/>
  <c r="Q10" i="117"/>
  <c r="P10" i="117"/>
  <c r="O10" i="117"/>
  <c r="N10" i="117"/>
  <c r="M10" i="117"/>
  <c r="L10" i="117"/>
  <c r="K10" i="117"/>
  <c r="J10" i="117"/>
  <c r="I10" i="117"/>
  <c r="H10" i="117"/>
  <c r="G10" i="117"/>
  <c r="F10" i="117"/>
  <c r="E10" i="117"/>
  <c r="D10" i="117"/>
  <c r="C10" i="117"/>
  <c r="C8" i="117"/>
  <c r="C22" i="116"/>
  <c r="C21" i="116"/>
  <c r="C20" i="116"/>
  <c r="C19" i="116"/>
  <c r="C16" i="116"/>
  <c r="AA15" i="116"/>
  <c r="Z15" i="116"/>
  <c r="Y15" i="116"/>
  <c r="X15" i="116"/>
  <c r="W15" i="116"/>
  <c r="V15" i="116"/>
  <c r="U15" i="116"/>
  <c r="T15" i="116"/>
  <c r="S15" i="116"/>
  <c r="R15" i="116"/>
  <c r="Q15" i="116"/>
  <c r="P15" i="116"/>
  <c r="O15" i="116"/>
  <c r="N15" i="116"/>
  <c r="M15" i="116"/>
  <c r="L15" i="116"/>
  <c r="K15" i="116"/>
  <c r="J15" i="116"/>
  <c r="I15" i="116"/>
  <c r="H15" i="116"/>
  <c r="G15" i="116"/>
  <c r="F15" i="116"/>
  <c r="E15" i="116"/>
  <c r="D15" i="116"/>
  <c r="C15" i="116" s="1"/>
  <c r="L8" i="116"/>
  <c r="H8" i="116"/>
  <c r="C8" i="116"/>
  <c r="AA8" i="116"/>
  <c r="Z8" i="116"/>
  <c r="Y8" i="116"/>
  <c r="X8" i="116"/>
  <c r="W8" i="116"/>
  <c r="V8" i="116"/>
  <c r="U8" i="116"/>
  <c r="T8" i="116"/>
  <c r="S8" i="116"/>
  <c r="R8" i="116"/>
  <c r="Q8" i="116"/>
  <c r="P8" i="116"/>
  <c r="O8" i="116"/>
  <c r="N8" i="116"/>
  <c r="M8" i="116"/>
  <c r="K8" i="116"/>
  <c r="J8" i="116"/>
  <c r="I8" i="116"/>
  <c r="G8" i="116"/>
  <c r="F8" i="116"/>
  <c r="E8" i="116"/>
  <c r="D8" i="116"/>
  <c r="C10" i="115"/>
  <c r="C10" i="114"/>
  <c r="C7" i="114"/>
  <c r="C22" i="112"/>
  <c r="G21" i="112"/>
  <c r="F21" i="112"/>
  <c r="E21" i="112"/>
  <c r="C21" i="112"/>
  <c r="D21" i="112"/>
  <c r="H19" i="120" l="1"/>
  <c r="M13" i="120"/>
  <c r="H33" i="118"/>
  <c r="C33" i="118"/>
  <c r="C15" i="114"/>
  <c r="M19" i="120"/>
  <c r="C19" i="120"/>
  <c r="G22" i="111"/>
  <c r="F22" i="111"/>
  <c r="E22" i="111"/>
  <c r="D22" i="111"/>
  <c r="C22" i="111"/>
  <c r="G36" i="97"/>
  <c r="G35" i="97"/>
  <c r="G34" i="97"/>
  <c r="F33" i="97"/>
  <c r="E33" i="97"/>
  <c r="D33" i="97"/>
  <c r="C33" i="97"/>
  <c r="G31" i="97"/>
  <c r="G30" i="97"/>
  <c r="G29" i="97"/>
  <c r="G26" i="97"/>
  <c r="G15" i="97"/>
  <c r="G13" i="97"/>
  <c r="G12" i="97"/>
  <c r="G10" i="97"/>
  <c r="G9" i="97"/>
  <c r="J23" i="93"/>
  <c r="I23" i="93"/>
  <c r="K23" i="93" s="1"/>
  <c r="G23" i="93"/>
  <c r="F23" i="93"/>
  <c r="K8" i="93"/>
  <c r="H8" i="93"/>
  <c r="J21" i="93"/>
  <c r="I21" i="93"/>
  <c r="G21" i="93"/>
  <c r="F21" i="93"/>
  <c r="D21" i="93"/>
  <c r="C21" i="93"/>
  <c r="K19" i="93"/>
  <c r="K21" i="93" s="1"/>
  <c r="H19" i="93"/>
  <c r="H21" i="93" s="1"/>
  <c r="E19" i="93"/>
  <c r="E21" i="93" s="1"/>
  <c r="J16" i="93"/>
  <c r="I16" i="93"/>
  <c r="G16" i="93"/>
  <c r="F16" i="93"/>
  <c r="F24" i="93" s="1"/>
  <c r="D16" i="93"/>
  <c r="C16" i="93"/>
  <c r="K15" i="93"/>
  <c r="H15" i="93"/>
  <c r="E15" i="93"/>
  <c r="K14" i="93"/>
  <c r="H14" i="93"/>
  <c r="E14" i="93"/>
  <c r="K13" i="93"/>
  <c r="H13" i="93"/>
  <c r="E13" i="93"/>
  <c r="K12" i="93"/>
  <c r="H12" i="93"/>
  <c r="E12" i="93"/>
  <c r="K11" i="93"/>
  <c r="H11" i="93"/>
  <c r="E11" i="93"/>
  <c r="K10" i="93"/>
  <c r="H10" i="93"/>
  <c r="H16" i="93" s="1"/>
  <c r="E10" i="93"/>
  <c r="H9" i="91"/>
  <c r="H10" i="91"/>
  <c r="H11" i="91"/>
  <c r="H12" i="91"/>
  <c r="H13" i="91"/>
  <c r="H14" i="91"/>
  <c r="H15" i="91"/>
  <c r="H16" i="91"/>
  <c r="H17" i="91"/>
  <c r="H18" i="91"/>
  <c r="H19" i="91"/>
  <c r="H20" i="91"/>
  <c r="H21" i="91"/>
  <c r="H8" i="91"/>
  <c r="C62" i="69"/>
  <c r="C58" i="69"/>
  <c r="C67" i="69" s="1"/>
  <c r="C46" i="69"/>
  <c r="C40" i="69"/>
  <c r="C29" i="69"/>
  <c r="C26" i="69"/>
  <c r="C23" i="69"/>
  <c r="C18" i="69"/>
  <c r="C14" i="69"/>
  <c r="C6" i="69"/>
  <c r="C35" i="69" s="1"/>
  <c r="E36" i="88"/>
  <c r="E35" i="88"/>
  <c r="E34" i="88"/>
  <c r="E33" i="88"/>
  <c r="E32" i="88"/>
  <c r="D31" i="88"/>
  <c r="C31" i="88"/>
  <c r="E31" i="88" s="1"/>
  <c r="E30" i="88"/>
  <c r="E29" i="88"/>
  <c r="D28" i="88"/>
  <c r="C28" i="88"/>
  <c r="E27" i="88"/>
  <c r="E26" i="88"/>
  <c r="D25" i="88"/>
  <c r="C25" i="88"/>
  <c r="E25" i="88" s="1"/>
  <c r="E24" i="88"/>
  <c r="E23" i="88"/>
  <c r="E22" i="88"/>
  <c r="E21" i="88"/>
  <c r="D20" i="88"/>
  <c r="C20" i="88"/>
  <c r="E19" i="88"/>
  <c r="E18" i="88"/>
  <c r="E17" i="88"/>
  <c r="D16" i="88"/>
  <c r="C16" i="88"/>
  <c r="E16" i="88" s="1"/>
  <c r="E15" i="88"/>
  <c r="E14" i="88"/>
  <c r="E13" i="88"/>
  <c r="E12" i="88"/>
  <c r="E11" i="88"/>
  <c r="E10" i="88"/>
  <c r="E8" i="88" s="1"/>
  <c r="E9" i="88"/>
  <c r="D8" i="88"/>
  <c r="C8" i="88"/>
  <c r="I24" i="93" l="1"/>
  <c r="I25" i="93" s="1"/>
  <c r="H23" i="93"/>
  <c r="C52" i="69"/>
  <c r="E28" i="88"/>
  <c r="E20" i="88"/>
  <c r="G33" i="97"/>
  <c r="J24" i="93"/>
  <c r="K24" i="93" s="1"/>
  <c r="K25" i="93" s="1"/>
  <c r="G24" i="93"/>
  <c r="H24" i="93" s="1"/>
  <c r="H25" i="93" s="1"/>
  <c r="K16" i="93"/>
  <c r="J25" i="93"/>
  <c r="E16" i="93"/>
  <c r="C68" i="69"/>
  <c r="F25" i="93"/>
  <c r="G38" i="110"/>
  <c r="F38" i="110"/>
  <c r="G30" i="110"/>
  <c r="F30" i="110"/>
  <c r="F17" i="110"/>
  <c r="F14" i="110" s="1"/>
  <c r="G14" i="110"/>
  <c r="G11" i="110"/>
  <c r="F11" i="110"/>
  <c r="G8" i="110"/>
  <c r="F8" i="110"/>
  <c r="D38" i="110"/>
  <c r="C38" i="110"/>
  <c r="D30" i="110"/>
  <c r="C30" i="110"/>
  <c r="D17" i="110"/>
  <c r="D14" i="110" s="1"/>
  <c r="C17" i="110"/>
  <c r="C14" i="110" s="1"/>
  <c r="D11" i="110"/>
  <c r="C11" i="110"/>
  <c r="D8" i="110"/>
  <c r="C8" i="110"/>
  <c r="G34" i="109"/>
  <c r="F34" i="109"/>
  <c r="G29" i="109"/>
  <c r="F29" i="109"/>
  <c r="G13" i="109"/>
  <c r="F13" i="109"/>
  <c r="G6" i="109"/>
  <c r="F6" i="109"/>
  <c r="D37" i="109"/>
  <c r="C37" i="109"/>
  <c r="D34" i="109"/>
  <c r="C34" i="109"/>
  <c r="D29" i="109"/>
  <c r="C29" i="109"/>
  <c r="D13" i="109"/>
  <c r="D43" i="109" s="1"/>
  <c r="D45" i="109" s="1"/>
  <c r="C13" i="109"/>
  <c r="C43" i="109" s="1"/>
  <c r="C45" i="109" s="1"/>
  <c r="D6" i="109"/>
  <c r="C6" i="109"/>
  <c r="G68" i="108"/>
  <c r="F68" i="108"/>
  <c r="D63" i="108"/>
  <c r="C63" i="108"/>
  <c r="D59" i="108"/>
  <c r="D68" i="108" s="1"/>
  <c r="C59" i="108"/>
  <c r="C68" i="108" s="1"/>
  <c r="G47" i="108"/>
  <c r="F47" i="108"/>
  <c r="G41" i="108"/>
  <c r="G53" i="108" s="1"/>
  <c r="G69" i="108" s="1"/>
  <c r="F41" i="108"/>
  <c r="F53" i="108" s="1"/>
  <c r="D53" i="108"/>
  <c r="D47" i="108"/>
  <c r="C47" i="108"/>
  <c r="D41" i="108"/>
  <c r="C41" i="108"/>
  <c r="G30" i="108"/>
  <c r="F30" i="108"/>
  <c r="G27" i="108"/>
  <c r="F27" i="108"/>
  <c r="G24" i="108"/>
  <c r="F24" i="108"/>
  <c r="H24" i="108" s="1"/>
  <c r="G19" i="108"/>
  <c r="F19" i="108"/>
  <c r="H19" i="108" s="1"/>
  <c r="G15" i="108"/>
  <c r="F15" i="108"/>
  <c r="H15" i="108" s="1"/>
  <c r="G7" i="108"/>
  <c r="F7" i="108"/>
  <c r="E8" i="108"/>
  <c r="H8" i="108"/>
  <c r="E9" i="108"/>
  <c r="H9" i="108"/>
  <c r="E10" i="108"/>
  <c r="H10" i="108"/>
  <c r="E11" i="108"/>
  <c r="H11" i="108"/>
  <c r="E12" i="108"/>
  <c r="H12" i="108"/>
  <c r="E13" i="108"/>
  <c r="H13" i="108"/>
  <c r="E14" i="108"/>
  <c r="H14" i="108"/>
  <c r="C15" i="108"/>
  <c r="E15" i="108" s="1"/>
  <c r="D15" i="108"/>
  <c r="E16" i="108"/>
  <c r="H16" i="108"/>
  <c r="E17" i="108"/>
  <c r="H17" i="108"/>
  <c r="E18" i="108"/>
  <c r="H18" i="108"/>
  <c r="C19" i="108"/>
  <c r="E19" i="108" s="1"/>
  <c r="D19" i="108"/>
  <c r="E20" i="108"/>
  <c r="H20" i="108"/>
  <c r="E21" i="108"/>
  <c r="H21" i="108"/>
  <c r="E22" i="108"/>
  <c r="H22" i="108"/>
  <c r="E23" i="108"/>
  <c r="H23" i="108"/>
  <c r="C24" i="108"/>
  <c r="E24" i="108" s="1"/>
  <c r="D24" i="108"/>
  <c r="E25" i="108"/>
  <c r="H25" i="108"/>
  <c r="E26" i="108"/>
  <c r="H26" i="108"/>
  <c r="C27" i="108"/>
  <c r="E27" i="108" s="1"/>
  <c r="D27" i="108"/>
  <c r="E28" i="108"/>
  <c r="H28" i="108"/>
  <c r="E29" i="108"/>
  <c r="H29" i="108"/>
  <c r="C30" i="108"/>
  <c r="E30" i="108" s="1"/>
  <c r="D30" i="108"/>
  <c r="H30" i="108"/>
  <c r="E31" i="108"/>
  <c r="H31" i="108"/>
  <c r="E32" i="108"/>
  <c r="H32" i="108"/>
  <c r="E33" i="108"/>
  <c r="H33" i="108"/>
  <c r="E34" i="108"/>
  <c r="H34" i="108"/>
  <c r="E35" i="108"/>
  <c r="H35" i="108"/>
  <c r="D7" i="108"/>
  <c r="C7" i="108"/>
  <c r="C36" i="108" s="1"/>
  <c r="C20" i="84"/>
  <c r="C19" i="84"/>
  <c r="C18" i="84"/>
  <c r="G43" i="109" l="1"/>
  <c r="G45" i="109" s="1"/>
  <c r="F43" i="109"/>
  <c r="F45" i="109" s="1"/>
  <c r="D36" i="108"/>
  <c r="E36" i="108" s="1"/>
  <c r="G25" i="93"/>
  <c r="F69" i="108"/>
  <c r="C53" i="108"/>
  <c r="C69" i="108" s="1"/>
  <c r="D69" i="108"/>
  <c r="H27" i="108"/>
  <c r="F36" i="108"/>
  <c r="G36" i="108"/>
  <c r="H7" i="112"/>
  <c r="H36" i="108" l="1"/>
  <c r="B2" i="97"/>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C18" i="115" l="1"/>
  <c r="D7" i="114"/>
  <c r="D10" i="114"/>
  <c r="D15" i="114"/>
  <c r="H7" i="113"/>
  <c r="H8" i="113"/>
  <c r="H9" i="113"/>
  <c r="H10" i="113"/>
  <c r="H11" i="113"/>
  <c r="H12" i="113"/>
  <c r="H13" i="113"/>
  <c r="H14" i="113"/>
  <c r="H15" i="113"/>
  <c r="H16" i="113"/>
  <c r="H17" i="113"/>
  <c r="H18" i="113"/>
  <c r="H19" i="113"/>
  <c r="H20" i="113"/>
  <c r="H21" i="113"/>
  <c r="H22" i="113"/>
  <c r="H23" i="113"/>
  <c r="H24" i="113"/>
  <c r="H25" i="113"/>
  <c r="H26" i="113"/>
  <c r="H27" i="113"/>
  <c r="H28" i="113"/>
  <c r="H29" i="113"/>
  <c r="H30" i="113"/>
  <c r="H31" i="113"/>
  <c r="H32" i="113"/>
  <c r="H33" i="113"/>
  <c r="C34" i="113"/>
  <c r="D34" i="113"/>
  <c r="E34" i="113"/>
  <c r="F34" i="113"/>
  <c r="G34" i="113"/>
  <c r="H8" i="112"/>
  <c r="H9" i="112"/>
  <c r="H10" i="112"/>
  <c r="H11" i="112"/>
  <c r="H12" i="112"/>
  <c r="H13" i="112"/>
  <c r="H14" i="112"/>
  <c r="H15" i="112"/>
  <c r="H16" i="112"/>
  <c r="H17" i="112"/>
  <c r="H18" i="112"/>
  <c r="H19" i="112"/>
  <c r="H20" i="112"/>
  <c r="H22" i="112"/>
  <c r="H23" i="112"/>
  <c r="H8" i="111"/>
  <c r="H9" i="111"/>
  <c r="H10" i="111"/>
  <c r="H11" i="111"/>
  <c r="H12" i="111"/>
  <c r="H13" i="111"/>
  <c r="H14" i="111"/>
  <c r="H15" i="111"/>
  <c r="H16" i="111"/>
  <c r="H17" i="111"/>
  <c r="H18" i="111"/>
  <c r="H19" i="111"/>
  <c r="H20" i="111"/>
  <c r="H21" i="111"/>
  <c r="H21" i="112" l="1"/>
  <c r="H34" i="113"/>
  <c r="H22" i="111"/>
  <c r="E37" i="88"/>
  <c r="D37" i="88"/>
  <c r="C37" i="88"/>
  <c r="H43" i="110" l="1"/>
  <c r="E43" i="110"/>
  <c r="H42" i="110"/>
  <c r="E42" i="110"/>
  <c r="H41" i="110"/>
  <c r="E41" i="110"/>
  <c r="H40" i="110"/>
  <c r="E40" i="110"/>
  <c r="H39" i="110"/>
  <c r="E39" i="110"/>
  <c r="H38" i="110"/>
  <c r="E38" i="110"/>
  <c r="H37" i="110"/>
  <c r="E37" i="110"/>
  <c r="H36" i="110"/>
  <c r="E36" i="110"/>
  <c r="H35" i="110"/>
  <c r="E35" i="110"/>
  <c r="H34" i="110"/>
  <c r="E34" i="110"/>
  <c r="H33" i="110"/>
  <c r="E33" i="110"/>
  <c r="H32" i="110"/>
  <c r="E32" i="110"/>
  <c r="H31" i="110"/>
  <c r="E31" i="110"/>
  <c r="E30" i="110"/>
  <c r="H29" i="110"/>
  <c r="E29" i="110"/>
  <c r="H28" i="110"/>
  <c r="E28" i="110"/>
  <c r="H27" i="110"/>
  <c r="E27" i="110"/>
  <c r="H26" i="110"/>
  <c r="E26" i="110"/>
  <c r="H25" i="110"/>
  <c r="E25" i="110"/>
  <c r="H24" i="110"/>
  <c r="E24" i="110"/>
  <c r="H23" i="110"/>
  <c r="E23" i="110"/>
  <c r="H22" i="110"/>
  <c r="E22" i="110"/>
  <c r="H21" i="110"/>
  <c r="E21" i="110"/>
  <c r="H20" i="110"/>
  <c r="E20" i="110"/>
  <c r="H19" i="110"/>
  <c r="E19" i="110"/>
  <c r="H18" i="110"/>
  <c r="E18" i="110"/>
  <c r="H17" i="110"/>
  <c r="E14" i="110"/>
  <c r="H16" i="110"/>
  <c r="E16" i="110"/>
  <c r="H15" i="110"/>
  <c r="E15" i="110"/>
  <c r="H14" i="110"/>
  <c r="H13" i="110"/>
  <c r="E13" i="110"/>
  <c r="H12" i="110"/>
  <c r="E12" i="110"/>
  <c r="E11" i="110"/>
  <c r="H10" i="110"/>
  <c r="E10" i="110"/>
  <c r="H9" i="110"/>
  <c r="E9" i="110"/>
  <c r="E8" i="110"/>
  <c r="H7" i="110"/>
  <c r="E7" i="110"/>
  <c r="H6" i="110"/>
  <c r="E6" i="110"/>
  <c r="H44" i="109"/>
  <c r="E44" i="109"/>
  <c r="H42" i="109"/>
  <c r="E42" i="109"/>
  <c r="H41" i="109"/>
  <c r="E41" i="109"/>
  <c r="H40" i="109"/>
  <c r="E40" i="109"/>
  <c r="H39" i="109"/>
  <c r="E39" i="109"/>
  <c r="H38" i="109"/>
  <c r="E38" i="109"/>
  <c r="H37" i="109"/>
  <c r="E37" i="109"/>
  <c r="H36" i="109"/>
  <c r="E36" i="109"/>
  <c r="H35" i="109"/>
  <c r="E35" i="109"/>
  <c r="H34" i="109"/>
  <c r="E34" i="109"/>
  <c r="H33" i="109"/>
  <c r="E33" i="109"/>
  <c r="H32" i="109"/>
  <c r="E32" i="109"/>
  <c r="H31" i="109"/>
  <c r="E31" i="109"/>
  <c r="H30" i="109"/>
  <c r="E30" i="109"/>
  <c r="H29" i="109"/>
  <c r="E29" i="109"/>
  <c r="H28" i="109"/>
  <c r="E28" i="109"/>
  <c r="H27" i="109"/>
  <c r="E27" i="109"/>
  <c r="H26" i="109"/>
  <c r="E26" i="109"/>
  <c r="H25" i="109"/>
  <c r="E25" i="109"/>
  <c r="H24" i="109"/>
  <c r="E24" i="109"/>
  <c r="H23" i="109"/>
  <c r="E23" i="109"/>
  <c r="H22" i="109"/>
  <c r="E22" i="109"/>
  <c r="H21" i="109"/>
  <c r="E21" i="109"/>
  <c r="H20" i="109"/>
  <c r="E20" i="109"/>
  <c r="H19" i="109"/>
  <c r="E19" i="109"/>
  <c r="H18" i="109"/>
  <c r="E18" i="109"/>
  <c r="H17" i="109"/>
  <c r="E17" i="109"/>
  <c r="H16" i="109"/>
  <c r="E16" i="109"/>
  <c r="H15" i="109"/>
  <c r="E15" i="109"/>
  <c r="H14" i="109"/>
  <c r="E14" i="109"/>
  <c r="H13" i="109"/>
  <c r="E13" i="109"/>
  <c r="H12" i="109"/>
  <c r="E12" i="109"/>
  <c r="H11" i="109"/>
  <c r="E11" i="109"/>
  <c r="H10" i="109"/>
  <c r="E10" i="109"/>
  <c r="H9" i="109"/>
  <c r="E9" i="109"/>
  <c r="H8" i="109"/>
  <c r="E8" i="109"/>
  <c r="H7" i="109"/>
  <c r="E7" i="109"/>
  <c r="H69" i="108"/>
  <c r="H67" i="108"/>
  <c r="E67" i="108"/>
  <c r="H66" i="108"/>
  <c r="E66" i="108"/>
  <c r="H65" i="108"/>
  <c r="E65" i="108"/>
  <c r="H64" i="108"/>
  <c r="E64" i="108"/>
  <c r="H63" i="108"/>
  <c r="H62" i="108"/>
  <c r="E62" i="108"/>
  <c r="H61" i="108"/>
  <c r="E61" i="108"/>
  <c r="H60" i="108"/>
  <c r="E60" i="108"/>
  <c r="H59" i="108"/>
  <c r="H58" i="108"/>
  <c r="E58" i="108"/>
  <c r="H57" i="108"/>
  <c r="E57" i="108"/>
  <c r="H56" i="108"/>
  <c r="E56" i="108"/>
  <c r="H55" i="108"/>
  <c r="E55" i="108"/>
  <c r="H52" i="108"/>
  <c r="E52" i="108"/>
  <c r="H51" i="108"/>
  <c r="E51" i="108"/>
  <c r="H50" i="108"/>
  <c r="E50" i="108"/>
  <c r="H49" i="108"/>
  <c r="E49" i="108"/>
  <c r="H48" i="108"/>
  <c r="E48" i="108"/>
  <c r="H47" i="108"/>
  <c r="E47" i="108"/>
  <c r="H46" i="108"/>
  <c r="E46" i="108"/>
  <c r="H45" i="108"/>
  <c r="E45" i="108"/>
  <c r="H44" i="108"/>
  <c r="E44" i="108"/>
  <c r="H43" i="108"/>
  <c r="E43" i="108"/>
  <c r="H42" i="108"/>
  <c r="E42" i="108"/>
  <c r="H41" i="108"/>
  <c r="H40" i="108"/>
  <c r="E40" i="108"/>
  <c r="H39" i="108"/>
  <c r="E39" i="108"/>
  <c r="H38" i="108"/>
  <c r="E38" i="108"/>
  <c r="H11" i="110" l="1"/>
  <c r="E63" i="108"/>
  <c r="H8" i="110"/>
  <c r="E6" i="109"/>
  <c r="H43" i="109"/>
  <c r="H30" i="110"/>
  <c r="E7" i="108"/>
  <c r="E59" i="108"/>
  <c r="H7" i="108"/>
  <c r="E17" i="110"/>
  <c r="H6" i="109"/>
  <c r="E53" i="108"/>
  <c r="H68" i="108"/>
  <c r="E41" i="108"/>
  <c r="H53" i="108"/>
  <c r="E68" i="108" l="1"/>
  <c r="H45" i="109"/>
  <c r="E43" i="109"/>
  <c r="E45" i="109"/>
  <c r="E69" i="108"/>
  <c r="B1" i="97" l="1"/>
  <c r="G24" i="97"/>
  <c r="G37" i="97" s="1"/>
  <c r="F24" i="97"/>
  <c r="E24" i="97"/>
  <c r="D24" i="97"/>
  <c r="C24" i="97"/>
  <c r="G18" i="97"/>
  <c r="F18" i="97"/>
  <c r="E18" i="97"/>
  <c r="D18" i="97"/>
  <c r="C18" i="97"/>
  <c r="G14" i="97"/>
  <c r="G11" i="97"/>
  <c r="F11" i="97"/>
  <c r="E11" i="97"/>
  <c r="D11" i="97"/>
  <c r="C11" i="97"/>
  <c r="G8" i="97"/>
  <c r="F8" i="97"/>
  <c r="E8" i="97"/>
  <c r="D8" i="97"/>
  <c r="C8" i="97"/>
  <c r="G21" i="97" l="1"/>
  <c r="G39" i="97" s="1"/>
  <c r="B1" i="95"/>
  <c r="B1" i="92"/>
  <c r="B1" i="93"/>
  <c r="B1" i="64"/>
  <c r="B1" i="90"/>
  <c r="B1" i="69"/>
  <c r="B1" i="94"/>
  <c r="B1" i="89"/>
  <c r="B1" i="73"/>
  <c r="B1" i="88"/>
  <c r="B1" i="52"/>
  <c r="B1" i="86"/>
  <c r="G5" i="86"/>
  <c r="F5" i="86"/>
  <c r="E5" i="86"/>
  <c r="D5" i="86"/>
  <c r="G5" i="84"/>
  <c r="L5" i="84" s="1"/>
  <c r="F5" i="84"/>
  <c r="K5" i="84" s="1"/>
  <c r="E5" i="84"/>
  <c r="J5" i="84" s="1"/>
  <c r="D5" i="84"/>
  <c r="I5" i="84" s="1"/>
  <c r="C5" i="84"/>
  <c r="E6" i="86" l="1"/>
  <c r="E13" i="86" s="1"/>
  <c r="F6" i="86"/>
  <c r="F13" i="86" s="1"/>
  <c r="G6" i="86"/>
  <c r="G13" i="86" s="1"/>
  <c r="C21" i="94" l="1"/>
  <c r="C20" i="94"/>
  <c r="C19" i="94"/>
  <c r="B1" i="91" l="1"/>
  <c r="B1" i="84"/>
  <c r="C30" i="95" l="1"/>
  <c r="C26" i="95"/>
  <c r="C18" i="95"/>
  <c r="C8" i="95"/>
  <c r="C36" i="95" l="1"/>
  <c r="C38" i="95"/>
  <c r="D6" i="86"/>
  <c r="D13" i="86" s="1"/>
  <c r="C6" i="86" l="1"/>
  <c r="C13" i="86" s="1"/>
  <c r="D21" i="94" l="1"/>
  <c r="D7" i="94"/>
  <c r="D8" i="94"/>
  <c r="D9" i="94"/>
  <c r="D11" i="94"/>
  <c r="D13" i="94"/>
  <c r="D16" i="94"/>
  <c r="D20" i="94"/>
  <c r="D19" i="94"/>
  <c r="D15" i="94"/>
  <c r="D17" i="94"/>
  <c r="D12" i="94"/>
  <c r="N20" i="92"/>
  <c r="N19" i="92"/>
  <c r="E19" i="92"/>
  <c r="N18" i="92"/>
  <c r="E18" i="92"/>
  <c r="N17" i="92"/>
  <c r="E17" i="92"/>
  <c r="N16" i="92"/>
  <c r="E16" i="92"/>
  <c r="N15" i="92"/>
  <c r="E15" i="92"/>
  <c r="M14" i="92"/>
  <c r="L14" i="92"/>
  <c r="K14" i="92"/>
  <c r="J14" i="92"/>
  <c r="I14" i="92"/>
  <c r="H14" i="92"/>
  <c r="G14" i="92"/>
  <c r="F14" i="92"/>
  <c r="E14" i="92"/>
  <c r="C14" i="92"/>
  <c r="N13" i="92"/>
  <c r="N12" i="92"/>
  <c r="E12" i="92"/>
  <c r="N11" i="92"/>
  <c r="E11" i="92"/>
  <c r="N10" i="92"/>
  <c r="E10" i="92"/>
  <c r="N9" i="92"/>
  <c r="E9" i="92"/>
  <c r="N8" i="92"/>
  <c r="E8" i="92"/>
  <c r="E7" i="92" s="1"/>
  <c r="M7" i="92"/>
  <c r="M21" i="92" s="1"/>
  <c r="L7" i="92"/>
  <c r="L21" i="92" s="1"/>
  <c r="K7" i="92"/>
  <c r="J7" i="92"/>
  <c r="J21" i="92" s="1"/>
  <c r="I7" i="92"/>
  <c r="H7" i="92"/>
  <c r="H21" i="92" s="1"/>
  <c r="G7" i="92"/>
  <c r="G21" i="92" s="1"/>
  <c r="F7" i="92"/>
  <c r="F21" i="92" s="1"/>
  <c r="C7" i="92"/>
  <c r="I21" i="92" l="1"/>
  <c r="K21" i="92"/>
  <c r="N14" i="92"/>
  <c r="C21" i="92"/>
  <c r="E21" i="92"/>
  <c r="N7" i="92"/>
  <c r="S21" i="90"/>
  <c r="S20" i="90"/>
  <c r="S19" i="90"/>
  <c r="S18" i="90"/>
  <c r="S17" i="90"/>
  <c r="S16" i="90"/>
  <c r="S15" i="90"/>
  <c r="S14" i="90"/>
  <c r="S13" i="90"/>
  <c r="S12" i="90"/>
  <c r="S11" i="90"/>
  <c r="S10" i="90"/>
  <c r="S9" i="90"/>
  <c r="S8" i="90"/>
  <c r="N21" i="92" l="1"/>
  <c r="T21" i="64"/>
  <c r="U21" i="64"/>
  <c r="S21" i="64"/>
  <c r="C21" i="64"/>
  <c r="G22" i="91"/>
  <c r="F22" i="91"/>
  <c r="E22" i="91"/>
  <c r="D22" i="91"/>
  <c r="C22" i="91"/>
  <c r="H22" i="91" l="1"/>
  <c r="K22" i="90"/>
  <c r="L22" i="90"/>
  <c r="M22" i="90"/>
  <c r="N22" i="90"/>
  <c r="O22" i="90"/>
  <c r="P22" i="90"/>
  <c r="Q22" i="90"/>
  <c r="R22" i="90"/>
  <c r="S22" i="90"/>
  <c r="C5" i="73" l="1"/>
  <c r="C22" i="90" l="1"/>
  <c r="C12" i="89"/>
  <c r="C6" i="89"/>
  <c r="D22" i="90" l="1"/>
  <c r="E22" i="90"/>
  <c r="F22" i="90"/>
  <c r="G22" i="90"/>
  <c r="H22" i="90"/>
  <c r="I22" i="90"/>
  <c r="J22" i="90"/>
  <c r="C29" i="89"/>
  <c r="C32" i="89"/>
  <c r="C31" i="89" s="1"/>
  <c r="C36" i="89"/>
  <c r="C42" i="89" s="1"/>
  <c r="C44" i="89"/>
  <c r="C48" i="89"/>
  <c r="C8" i="73" l="1"/>
  <c r="C13" i="73" s="1"/>
  <c r="C53" i="89"/>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<sst xmlns="http://schemas.openxmlformats.org/spreadsheetml/2006/main" count="1208" uniqueCount="753">
  <si>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</si>
  <si>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</si>
  <si>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</si>
  <si>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</si>
  <si>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</si>
  <si>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</si>
  <si>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</si>
  <si>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</si>
  <si>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</si>
  <si>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</si>
  <si>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</si>
  <si>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</si>
  <si>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</si>
  <si>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</si>
  <si>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</si>
  <si>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</si>
  <si>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</si>
  <si>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</si>
  <si>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</si>
  <si>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</si>
  <si>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</si>
  <si>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</si>
  <si>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</si>
  <si>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</si>
  <si>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</si>
  <si>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</si>
  <si>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</si>
  <si>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</si>
  <si>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</si>
  <si>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</si>
  <si>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</si>
  <si>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</si>
  <si>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</si>
  <si>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</si>
  <si>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</si>
  <si>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</si>
  <si>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</si>
  <si>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</si>
  <si>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</si>
  <si>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</si>
  <si>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</si>
  <si>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</si>
  <si>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</si>
  <si>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</si>
  <si>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</si>
  <si>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</si>
  <si>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</si>
  <si>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</si>
  <si>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</si>
  <si>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</si>
  <si>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</si>
  <si>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</si>
  <si>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</si>
  <si>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</si>
  <si>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</si>
  <si>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</si>
  <si>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</si>
  <si>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</si>
  <si>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</si>
  <si>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</si>
  <si>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</si>
  <si>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</si>
  <si>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</si>
  <si>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</si>
  <si>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</si>
  <si>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</si>
  <si>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</si>
  <si>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</si>
  <si>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</si>
  <si>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</si>
  <si>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</si>
  <si>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</si>
  <si>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</si>
  <si>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</si>
  <si>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</si>
  <si>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</si>
  <si>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</si>
  <si>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</si>
  <si>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</si>
  <si>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</si>
  <si>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</si>
  <si>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</si>
  <si>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</si>
  <si>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</si>
  <si>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</si>
  <si>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</si>
  <si>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</si>
  <si>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</si>
  <si>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</si>
  <si>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</si>
  <si>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</si>
  <si>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</si>
  <si>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</si>
  <si>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</si>
  <si>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</si>
  <si>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</si>
  <si>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</si>
  <si>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</si>
  <si>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</si>
  <si>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</si>
  <si>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</si>
  <si>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</si>
  <si>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</si>
  <si>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</si>
  <si>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</si>
  <si>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</si>
  <si>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</si>
  <si>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</si>
  <si>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</si>
  <si>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</si>
  <si>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</si>
  <si>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</si>
  <si>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</si>
  <si>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</si>
  <si>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</si>
  <si>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</si>
  <si>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</si>
  <si>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</si>
  <si>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</si>
  <si>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</si>
  <si>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</si>
  <si>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</si>
  <si>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</si>
  <si>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</si>
  <si>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</si>
  <si>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</si>
  <si>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</si>
  <si>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</si>
  <si>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</si>
  <si>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</si>
  <si>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</si>
  <si>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</si>
  <si>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</si>
  <si>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</si>
  <si>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</si>
  <si>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</si>
  <si>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</si>
  <si>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</si>
  <si>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</si>
  <si>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</si>
  <si>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</si>
  <si>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</si>
  <si>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</si>
  <si>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</si>
  <si>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</si>
  <si>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</si>
  <si>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</si>
  <si>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</si>
  <si>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</si>
  <si>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</si>
  <si>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</si>
  <si>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</si>
  <si>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</si>
  <si>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</si>
  <si>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</si>
  <si>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</si>
  <si>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</si>
  <si>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</si>
  <si>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</si>
  <si>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</si>
  <si>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</si>
  <si>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</si>
  <si>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</si>
  <si>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</si>
  <si>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</si>
  <si>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</si>
  <si>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</si>
  <si>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</si>
  <si>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</si>
  <si>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</si>
  <si>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</si>
  <si>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</si>
  <si>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</si>
  <si>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</si>
  <si>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</si>
  <si>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</si>
  <si>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</si>
  <si>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</si>
  <si>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</si>
  <si>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</si>
  <si>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</si>
  <si>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</si>
  <si>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</si>
  <si>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</si>
  <si>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</si>
  <si>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</si>
  <si>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</si>
  <si>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</si>
  <si>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</si>
  <si>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</si>
  <si>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</si>
  <si>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</si>
  <si>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</si>
  <si>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</si>
  <si>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</si>
  <si>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</si>
  <si>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</si>
  <si>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</si>
  <si>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</si>
  <si>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</si>
  <si>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</si>
  <si>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</si>
  <si>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</si>
  <si>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</si>
  <si>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</si>
  <si>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</si>
  <si>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</si>
  <si>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</si>
  <si>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</si>
  <si>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</si>
  <si>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</si>
  <si>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</si>
  <si>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</si>
  <si>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</si>
  <si>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</si>
  <si>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</si>
  <si>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</si>
  <si>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</si>
  <si>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</si>
  <si>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</si>
  <si>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</si>
  <si>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</si>
  <si>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</si>
  <si>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</si>
  <si>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</si>
  <si>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</si>
  <si>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</si>
  <si>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</si>
  <si>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</si>
  <si>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</si>
  <si>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</si>
  <si>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</si>
  <si>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</si>
  <si>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</si>
  <si>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</si>
  <si>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</si>
  <si>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</si>
  <si>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</si>
  <si>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</si>
  <si>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</si>
  <si>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</si>
  <si>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</si>
  <si>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</si>
  <si>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</si>
  <si>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</si>
  <si>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</si>
  <si>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</si>
  <si>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</si>
  <si>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</si>
  <si>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</si>
  <si>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</si>
  <si>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</si>
  <si>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</si>
  <si>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</si>
  <si>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</si>
  <si>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</si>
  <si>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</si>
  <si>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</si>
  <si>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</si>
  <si>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</si>
  <si>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</si>
  <si>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</si>
  <si>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</si>
  <si>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</si>
  <si>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</si>
  <si>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</si>
  <si>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</si>
  <si>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</si>
  <si>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</si>
  <si>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</si>
  <si>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</si>
  <si>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</si>
  <si>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</si>
  <si>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</si>
  <si>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</si>
  <si>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</si>
  <si>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</si>
  <si>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</si>
  <si>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</si>
  <si>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</si>
  <si>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</si>
  <si>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</si>
  <si>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</si>
  <si>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</si>
  <si>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</si>
  <si>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</si>
  <si>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</si>
  <si>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</si>
  <si>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</si>
  <si>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</si>
  <si>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</si>
  <si>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</si>
  <si>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</si>
  <si>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</si>
  <si>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</si>
  <si>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</si>
  <si>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</si>
  <si>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</si>
  <si>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</si>
  <si>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</si>
  <si>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</si>
  <si>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</si>
  <si>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</si>
  <si>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</si>
  <si>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</si>
  <si>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</si>
  <si>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</si>
  <si>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</si>
  <si>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</si>
  <si>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</si>
  <si>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</si>
  <si>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</si>
  <si>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</si>
  <si>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</si>
  <si>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</si>
  <si>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</si>
  <si>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</si>
  <si>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</si>
  <si>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</si>
  <si>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</si>
  <si>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</si>
  <si>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</si>
  <si>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</si>
  <si>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</si>
  <si>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</si>
  <si>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</si>
  <si>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</si>
  <si>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</si>
  <si>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</si>
  <si>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</si>
  <si>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</si>
  <si>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</si>
  <si>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</si>
  <si>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</si>
  <si>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</si>
  <si>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</si>
  <si>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</si>
  <si>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</si>
  <si>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</si>
  <si>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</si>
  <si>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</si>
  <si>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</si>
  <si>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</si>
  <si>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</si>
  <si>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</si>
  <si>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</si>
  <si>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</si>
  <si>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</si>
  <si>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</si>
  <si>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</si>
  <si>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</si>
  <si>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</si>
  <si>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</si>
  <si>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</si>
  <si>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</si>
  <si>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</si>
  <si>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</si>
  <si>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</si>
  <si>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</si>
  <si>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</si>
  <si>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</si>
  <si>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</si>
  <si>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</si>
  <si>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</si>
  <si>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</si>
  <si>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</si>
  <si>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</si>
  <si>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</si>
  <si>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</si>
  <si>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</si>
  <si>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</si>
  <si>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</si>
  <si>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</si>
  <si>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</si>
  <si>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</si>
  <si>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</si>
  <si>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</si>
  <si>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</si>
  <si>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</si>
  <si>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</si>
  <si>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</si>
  <si>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</si>
  <si>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</si>
  <si>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</si>
  <si>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</si>
  <si>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</si>
  <si>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</si>
  <si>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</si>
  <si>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</si>
  <si>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</si>
  <si>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</si>
  <si>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</si>
  <si>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</si>
  <si>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</si>
  <si>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</si>
  <si>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</si>
  <si>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</si>
  <si>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</si>
  <si>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</si>
  <si>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</si>
  <si>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</si>
  <si>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</si>
  <si>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</si>
  <si>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</si>
  <si>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</si>
  <si>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</si>
  <si>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</si>
  <si>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</si>
  <si>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</si>
  <si>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</si>
  <si>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</si>
  <si>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</si>
  <si>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</si>
  <si>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</si>
  <si>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</si>
  <si>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</si>
  <si>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</si>
  <si>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</si>
  <si>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</si>
  <si>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</si>
  <si>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</si>
  <si>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</si>
  <si>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</si>
  <si>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</si>
  <si>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</si>
  <si>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</si>
  <si>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</si>
  <si>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</si>
  <si>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</si>
  <si>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</si>
  <si>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</si>
  <si>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</si>
  <si>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</si>
  <si>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</si>
  <si>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</si>
  <si>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</si>
  <si>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</si>
  <si>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</si>
  <si>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</si>
  <si>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</si>
  <si>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</si>
  <si>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</si>
  <si>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</si>
  <si>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</si>
  <si>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</si>
  <si>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</si>
  <si>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</si>
  <si>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</si>
  <si>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</si>
  <si>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</si>
  <si>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</si>
  <si>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</si>
  <si>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</si>
  <si>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</si>
  <si>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</si>
  <si>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</si>
  <si>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</si>
  <si>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</si>
  <si>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</si>
  <si>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</si>
  <si>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</si>
  <si>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</si>
  <si>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</si>
  <si>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</si>
  <si>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</si>
  <si>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</si>
  <si>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</si>
  <si>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</si>
  <si>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</si>
  <si>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</si>
  <si>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</si>
  <si>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</si>
  <si>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</si>
  <si>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</si>
  <si>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</si>
  <si>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</si>
  <si>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</si>
  <si>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</si>
  <si>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</si>
  <si>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</si>
  <si>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</si>
  <si>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</si>
  <si>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</si>
  <si>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</si>
  <si>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</si>
  <si>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</si>
  <si>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</si>
  <si>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</si>
  <si>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</si>
  <si>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</si>
  <si>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</si>
  <si>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</si>
  <si>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</si>
  <si>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</si>
  <si>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</si>
  <si>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</si>
  <si>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</si>
  <si>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</si>
  <si>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</si>
  <si>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</si>
  <si>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</si>
  <si>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</si>
  <si>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</si>
  <si>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</si>
  <si>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</si>
  <si>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</si>
  <si>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</si>
  <si>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</si>
  <si>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</si>
  <si>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</si>
  <si>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</si>
  <si>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</si>
  <si>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</si>
  <si>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</si>
  <si>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</si>
  <si>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</si>
  <si>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</si>
  <si>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</si>
  <si>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</si>
  <si>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</si>
  <si>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</si>
  <si>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</si>
  <si>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</si>
  <si>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</si>
  <si>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</si>
  <si>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</si>
  <si>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</si>
  <si>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</si>
  <si>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</si>
  <si>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</si>
  <si>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</si>
  <si>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</si>
  <si>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</si>
  <si>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</si>
  <si>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</si>
  <si>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</si>
  <si>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</si>
  <si>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</si>
  <si>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</si>
  <si>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</si>
  <si>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</si>
  <si>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</si>
  <si>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</si>
  <si>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</si>
  <si>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</si>
  <si>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</si>
  <si>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</si>
  <si>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</si>
  <si>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</si>
  <si>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</si>
  <si>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</si>
  <si>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</si>
  <si>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</si>
  <si>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</si>
  <si>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</si>
  <si>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</si>
  <si>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</si>
  <si>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</si>
  <si>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</si>
  <si>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</si>
  <si>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</si>
  <si>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</si>
  <si>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</si>
  <si>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</si>
  <si>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</si>
  <si>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</si>
  <si>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</si>
  <si>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</si>
  <si>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</si>
  <si>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</si>
  <si>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</si>
  <si>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</si>
  <si>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</si>
  <si>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</si>
  <si>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</si>
  <si>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</si>
  <si>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</si>
  <si>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</si>
  <si>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</si>
  <si>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</si>
  <si>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</si>
  <si>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</si>
  <si>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</si>
  <si>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</si>
  <si>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</si>
  <si>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</si>
  <si>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</si>
  <si>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</si>
  <si>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</si>
  <si>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</si>
  <si>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</si>
  <si>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</si>
  <si>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</si>
  <si>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</si>
  <si>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</si>
  <si>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</si>
  <si>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</si>
  <si>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</si>
  <si>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</si>
  <si>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</si>
  <si>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</si>
  <si>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</si>
  <si>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</si>
  <si>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</si>
  <si>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</si>
  <si>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</si>
  <si>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</si>
  <si>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</si>
  <si>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</si>
  <si>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</si>
  <si>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</si>
  <si>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</si>
  <si>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</si>
  <si>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</si>
  <si>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</si>
  <si>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</si>
  <si>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</si>
  <si>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</si>
  <si>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</si>
  <si>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</si>
  <si>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</si>
  <si>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</si>
  <si>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</si>
  <si>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</si>
  <si>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</si>
  <si>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</si>
  <si>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</si>
  <si>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</si>
  <si>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</si>
  <si>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</si>
  <si>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</si>
  <si>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</si>
  <si>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</si>
  <si>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</si>
  <si>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</si>
  <si>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</si>
  <si>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</si>
  <si>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</si>
  <si>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</si>
  <si>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</si>
  <si>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</si>
  <si>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</si>
  <si>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</si>
  <si>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</si>
  <si>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</si>
  <si>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</si>
  <si>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</si>
  <si>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</si>
  <si>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</si>
  <si>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</si>
  <si>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</si>
  <si>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</si>
  <si>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</si>
  <si>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</si>
  <si>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</si>
  <si>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</si>
  <si>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</si>
  <si>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</si>
  <si>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</si>
  <si>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</si>
  <si>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</si>
  <si>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</si>
  <si>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</si>
  <si>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</si>
  <si>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</si>
  <si>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</si>
  <si>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</si>
  <si>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</si>
  <si>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</si>
  <si>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</si>
  <si>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</si>
  <si>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</si>
  <si>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</si>
  <si>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</si>
  <si>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</si>
  <si>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</si>
  <si>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</si>
  <si>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</si>
  <si>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</si>
  <si>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</si>
  <si>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</si>
  <si>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</si>
  <si>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</si>
  <si>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</si>
  <si>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</si>
  <si>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</si>
  <si>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</si>
  <si>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</si>
  <si>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</si>
  <si>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</si>
  <si>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</si>
  <si>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</si>
  <si>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</si>
  <si>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</si>
  <si>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</si>
  <si>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</si>
  <si>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</si>
  <si>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</si>
  <si>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</si>
  <si>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</si>
  <si>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</si>
  <si>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</si>
  <si>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</si>
  <si>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</si>
  <si>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</si>
  <si>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</si>
  <si>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</si>
  <si>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</si>
  <si>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</si>
  <si>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</si>
  <si>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</si>
  <si>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JSC "CREDOBANK"</t>
  </si>
  <si>
    <t>Thomas Engelhardt (Germany)</t>
  </si>
  <si>
    <t>Thomas Engelhardt</t>
  </si>
  <si>
    <t>Zaal Pirtskhelava</t>
  </si>
  <si>
    <t>www.credo.ge</t>
  </si>
  <si>
    <t>Farah, Katia Chams (Netherlands)</t>
  </si>
  <si>
    <t>Paul-Catalin Panciu (Romania)</t>
  </si>
  <si>
    <t>Johannes Mainhardt (Germany)</t>
  </si>
  <si>
    <t>Andrew Pospielovsky (Great Britain)</t>
  </si>
  <si>
    <t>Olga Tomash (Ukraine)</t>
  </si>
  <si>
    <t>Independent member</t>
  </si>
  <si>
    <t>Non-independent chair</t>
  </si>
  <si>
    <t>Non-independent member</t>
  </si>
  <si>
    <t>Chief Executive Officer</t>
  </si>
  <si>
    <t>Erekle Zatiashvili</t>
  </si>
  <si>
    <t>CFO</t>
  </si>
  <si>
    <t>Zaza Tkeshelashvili</t>
  </si>
  <si>
    <t>Chief Credit Officer</t>
  </si>
  <si>
    <t>Nikoloz Kutateladze</t>
  </si>
  <si>
    <t>Chief Commercial Officer</t>
  </si>
  <si>
    <t>Alexander Kumsiashvili</t>
  </si>
  <si>
    <t>CIO</t>
  </si>
  <si>
    <t>George Nadareishvili</t>
  </si>
  <si>
    <t>CRO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</si>
  <si>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</si>
  <si>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</si>
  <si>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</si>
  <si>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</si>
  <si>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</si>
  <si>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</si>
  <si>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</si>
  <si>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British International Investment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</si>
  <si>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</si>
  <si>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</si>
  <si>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</si>
  <si>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</si>
  <si>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</si>
  <si>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Active Citizenship Trust (USA)</t>
  </si>
  <si>
    <t>Agence Francaise de developpement</t>
  </si>
  <si>
    <t>ECL/Total Loans</t>
  </si>
  <si>
    <t>Weighted average nominal interest rate (on Residual Contractual value of Loans)</t>
  </si>
  <si>
    <t>Weighted average remaining maturity (months) according to the  Residual Contractual value of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</si>
</sst>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 numFmtId="195" formatCode="_(* #,##0.0000000_);_(* \(#,##0.0000000\);_(* &quot;-&quot;??_);_(@_)"/>
  </numFmts>
  <fonts count="14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name val="Geo_Arial"/>
      <family val="2"/>
    </font>
    <font>
      <sz val="10"/>
      <color rgb="FF333333"/>
      <name val="Sylfaen"/>
      <family val="1"/>
    </font>
    <font>
      <b/>
      <sz val="10"/>
      <color theme="1"/>
      <name val="Sylfaen"/>
      <family val="1"/>
    </font>
    <font>
      <sz val="10"/>
      <color theme="1"/>
      <name val="Sylfaen"/>
      <family val="1"/>
    </font>
    <font>
      <b/>
      <i/>
      <sz val="10"/>
      <color theme="1"/>
      <name val="Sylfaen"/>
      <family val="1"/>
    </font>
    <font>
      <b/>
      <sz val="9"/>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0.14999847407452621"/>
        <bgColor indexed="64"/>
      </patternFill>
    </fill>
  </fills>
  <borders count="13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823">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3"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193" fontId="86" fillId="36" borderId="22" xfId="0" applyNumberFormat="1" applyFont="1" applyFill="1" applyBorder="1" applyAlignment="1">
      <alignment horizontal="center"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3" fontId="84" fillId="36" borderId="17" xfId="0" applyNumberFormat="1" applyFont="1" applyFill="1" applyBorder="1" applyAlignment="1">
      <alignment horizontal="center" vertical="center"/>
    </xf>
    <xf numFmtId="193" fontId="84" fillId="0" borderId="19" xfId="0" applyNumberFormat="1" applyFont="1" applyBorder="1" applyAlignment="1">
      <alignment wrapText="1"/>
    </xf>
    <xf numFmtId="193" fontId="84" fillId="36" borderId="19" xfId="0" applyNumberFormat="1" applyFont="1" applyFill="1" applyBorder="1" applyAlignment="1">
      <alignment horizontal="center" vertical="center" wrapText="1"/>
    </xf>
    <xf numFmtId="193"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3"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3" borderId="84"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169" fontId="9" fillId="37" borderId="0" xfId="20"/>
    <xf numFmtId="0" fontId="3" fillId="0" borderId="18" xfId="0" applyFont="1" applyBorder="1" applyAlignment="1">
      <alignment horizontal="center" vertical="center"/>
    </xf>
    <xf numFmtId="0" fontId="3" fillId="0" borderId="80" xfId="0" applyFont="1" applyBorder="1" applyAlignment="1">
      <alignment vertical="center"/>
    </xf>
    <xf numFmtId="0" fontId="3" fillId="0" borderId="81"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6" xfId="0" applyFont="1" applyBorder="1" applyAlignment="1">
      <alignment horizontal="center" vertical="center"/>
    </xf>
    <xf numFmtId="0" fontId="3" fillId="0" borderId="87" xfId="0" applyFont="1" applyBorder="1" applyAlignment="1">
      <alignment vertical="center"/>
    </xf>
    <xf numFmtId="169" fontId="9" fillId="37" borderId="24" xfId="20" applyBorder="1"/>
    <xf numFmtId="169" fontId="9" fillId="37" borderId="88" xfId="20" applyBorder="1"/>
    <xf numFmtId="169"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7" xfId="20964" applyFont="1" applyFill="1" applyBorder="1">
      <alignment vertical="center"/>
    </xf>
    <xf numFmtId="0" fontId="45" fillId="76" borderId="98" xfId="20964" applyFont="1" applyFill="1" applyBorder="1">
      <alignment vertical="center"/>
    </xf>
    <xf numFmtId="0" fontId="45" fillId="76" borderId="95" xfId="20964" applyFont="1" applyFill="1" applyBorder="1">
      <alignment vertical="center"/>
    </xf>
    <xf numFmtId="0" fontId="106" fillId="70" borderId="94" xfId="20964" applyFont="1" applyFill="1" applyBorder="1" applyAlignment="1">
      <alignment horizontal="center" vertical="center"/>
    </xf>
    <xf numFmtId="0" fontId="106" fillId="70" borderId="95" xfId="20964" applyFont="1" applyFill="1" applyBorder="1" applyAlignment="1">
      <alignment horizontal="left" vertical="center" wrapText="1"/>
    </xf>
    <xf numFmtId="164" fontId="106" fillId="0" borderId="96" xfId="7" applyNumberFormat="1" applyFont="1" applyFill="1" applyBorder="1" applyAlignment="1" applyProtection="1">
      <alignment horizontal="right" vertical="center"/>
      <protection locked="0"/>
    </xf>
    <xf numFmtId="0" fontId="105" fillId="77" borderId="96" xfId="20964" applyFont="1" applyFill="1" applyBorder="1" applyAlignment="1">
      <alignment horizontal="center" vertical="center"/>
    </xf>
    <xf numFmtId="0" fontId="105" fillId="77" borderId="98" xfId="20964" applyFont="1" applyFill="1" applyBorder="1" applyAlignment="1">
      <alignment vertical="top" wrapText="1"/>
    </xf>
    <xf numFmtId="164" fontId="45" fillId="76" borderId="95" xfId="7" applyNumberFormat="1" applyFont="1" applyFill="1" applyBorder="1" applyAlignment="1">
      <alignment horizontal="right" vertical="center"/>
    </xf>
    <xf numFmtId="0" fontId="107" fillId="70" borderId="94" xfId="20964" applyFont="1" applyFill="1" applyBorder="1" applyAlignment="1">
      <alignment horizontal="center" vertical="center"/>
    </xf>
    <xf numFmtId="0" fontId="106" fillId="70" borderId="98" xfId="20964" applyFont="1" applyFill="1" applyBorder="1" applyAlignment="1">
      <alignment vertical="center" wrapText="1"/>
    </xf>
    <xf numFmtId="0" fontId="106" fillId="70" borderId="95" xfId="20964" applyFont="1" applyFill="1" applyBorder="1" applyAlignment="1">
      <alignment horizontal="left" vertical="center"/>
    </xf>
    <xf numFmtId="0" fontId="107" fillId="3" borderId="94" xfId="20964" applyFont="1" applyFill="1" applyBorder="1" applyAlignment="1">
      <alignment horizontal="center" vertical="center"/>
    </xf>
    <xf numFmtId="0" fontId="106" fillId="3" borderId="95" xfId="20964" applyFont="1" applyFill="1" applyBorder="1" applyAlignment="1">
      <alignment horizontal="left" vertical="center"/>
    </xf>
    <xf numFmtId="0" fontId="107" fillId="0" borderId="94" xfId="20964" applyFont="1" applyBorder="1" applyAlignment="1">
      <alignment horizontal="center" vertical="center"/>
    </xf>
    <xf numFmtId="0" fontId="106" fillId="0" borderId="95" xfId="20964" applyFont="1" applyBorder="1" applyAlignment="1">
      <alignment horizontal="left" vertical="center"/>
    </xf>
    <xf numFmtId="0" fontId="108" fillId="77" borderId="96" xfId="20964" applyFont="1" applyFill="1" applyBorder="1" applyAlignment="1">
      <alignment horizontal="center" vertical="center"/>
    </xf>
    <xf numFmtId="0" fontId="105" fillId="77" borderId="98" xfId="20964" applyFont="1" applyFill="1" applyBorder="1">
      <alignment vertical="center"/>
    </xf>
    <xf numFmtId="164" fontId="106" fillId="77" borderId="96" xfId="7" applyNumberFormat="1" applyFont="1" applyFill="1" applyBorder="1" applyAlignment="1" applyProtection="1">
      <alignment horizontal="right" vertical="center"/>
      <protection locked="0"/>
    </xf>
    <xf numFmtId="0" fontId="105" fillId="76" borderId="97" xfId="20964" applyFont="1" applyFill="1" applyBorder="1">
      <alignment vertical="center"/>
    </xf>
    <xf numFmtId="0" fontId="105" fillId="76" borderId="98" xfId="20964" applyFont="1" applyFill="1" applyBorder="1">
      <alignment vertical="center"/>
    </xf>
    <xf numFmtId="164" fontId="105" fillId="76" borderId="95" xfId="7" applyNumberFormat="1" applyFont="1" applyFill="1" applyBorder="1" applyAlignment="1">
      <alignment horizontal="right" vertical="center"/>
    </xf>
    <xf numFmtId="0" fontId="110" fillId="3" borderId="94" xfId="20964" applyFont="1" applyFill="1" applyBorder="1" applyAlignment="1">
      <alignment horizontal="center" vertical="center"/>
    </xf>
    <xf numFmtId="0" fontId="111" fillId="77" borderId="96" xfId="20964" applyFont="1" applyFill="1" applyBorder="1" applyAlignment="1">
      <alignment horizontal="center" vertical="center"/>
    </xf>
    <xf numFmtId="0" fontId="45" fillId="77" borderId="98" xfId="20964" applyFont="1" applyFill="1" applyBorder="1">
      <alignment vertical="center"/>
    </xf>
    <xf numFmtId="0" fontId="110" fillId="70" borderId="94" xfId="20964" applyFont="1" applyFill="1" applyBorder="1" applyAlignment="1">
      <alignment horizontal="center" vertical="center"/>
    </xf>
    <xf numFmtId="164" fontId="106" fillId="3" borderId="96" xfId="7" applyNumberFormat="1" applyFont="1" applyFill="1" applyBorder="1" applyAlignment="1" applyProtection="1">
      <alignment horizontal="right" vertical="center"/>
      <protection locked="0"/>
    </xf>
    <xf numFmtId="0" fontId="111" fillId="3" borderId="96" xfId="20964" applyFont="1" applyFill="1" applyBorder="1" applyAlignment="1">
      <alignment horizontal="center" vertical="center"/>
    </xf>
    <xf numFmtId="0" fontId="45" fillId="3" borderId="98" xfId="20964" applyFont="1" applyFill="1" applyBorder="1">
      <alignment vertical="center"/>
    </xf>
    <xf numFmtId="0" fontId="107" fillId="70" borderId="96" xfId="20964" applyFont="1" applyFill="1" applyBorder="1" applyAlignment="1">
      <alignment horizontal="center" vertical="center"/>
    </xf>
    <xf numFmtId="0" fontId="19" fillId="70" borderId="96" xfId="20964" applyFont="1" applyFill="1" applyBorder="1" applyAlignment="1">
      <alignment horizontal="center" vertical="center"/>
    </xf>
    <xf numFmtId="0" fontId="101" fillId="0" borderId="96" xfId="0" applyFont="1" applyBorder="1" applyAlignment="1">
      <alignment horizontal="left" vertical="center" wrapText="1"/>
    </xf>
    <xf numFmtId="10" fontId="97" fillId="0" borderId="96" xfId="20962" applyNumberFormat="1" applyFont="1" applyFill="1" applyBorder="1" applyAlignment="1">
      <alignment horizontal="left" vertical="center" wrapText="1"/>
    </xf>
    <xf numFmtId="10" fontId="3" fillId="0"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left" vertical="center" wrapText="1"/>
    </xf>
    <xf numFmtId="10" fontId="101" fillId="0" borderId="96" xfId="20962" applyNumberFormat="1" applyFont="1" applyFill="1" applyBorder="1" applyAlignment="1">
      <alignment horizontal="left" vertical="center" wrapText="1"/>
    </xf>
    <xf numFmtId="10" fontId="4" fillId="36" borderId="96" xfId="20962" applyNumberFormat="1" applyFont="1" applyFill="1" applyBorder="1" applyAlignment="1">
      <alignment horizontal="left" vertical="center" wrapText="1"/>
    </xf>
    <xf numFmtId="10" fontId="4" fillId="36" borderId="96"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6" xfId="0" applyFont="1" applyFill="1" applyBorder="1" applyAlignment="1">
      <alignment horizontal="left" vertical="center" wrapText="1"/>
    </xf>
    <xf numFmtId="0" fontId="3" fillId="0" borderId="96" xfId="0" applyFont="1" applyBorder="1" applyAlignment="1">
      <alignment horizontal="left" vertical="center" wrapText="1"/>
    </xf>
    <xf numFmtId="0" fontId="4" fillId="36" borderId="82" xfId="0" applyFont="1" applyFill="1" applyBorder="1" applyAlignment="1">
      <alignment vertical="center" wrapText="1"/>
    </xf>
    <xf numFmtId="0" fontId="4" fillId="36" borderId="95"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6" xfId="0" applyFont="1" applyBorder="1"/>
    <xf numFmtId="0" fontId="6" fillId="0" borderId="96" xfId="17" applyFill="1" applyBorder="1" applyAlignment="1" applyProtection="1">
      <alignment horizontal="left" vertical="center"/>
    </xf>
    <xf numFmtId="0" fontId="6" fillId="0" borderId="96" xfId="17" applyBorder="1" applyAlignment="1" applyProtection="1"/>
    <xf numFmtId="0" fontId="6" fillId="0" borderId="96" xfId="17" applyFill="1" applyBorder="1" applyAlignment="1" applyProtection="1">
      <alignment horizontal="left" vertical="center" wrapText="1"/>
    </xf>
    <xf numFmtId="0" fontId="6" fillId="0" borderId="96"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6" xfId="0" applyNumberFormat="1" applyFont="1" applyFill="1" applyBorder="1" applyAlignment="1">
      <alignment vertical="center" wrapText="1"/>
    </xf>
    <xf numFmtId="3" fontId="104" fillId="36" borderId="97"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3"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99" xfId="0" applyFont="1" applyFill="1" applyBorder="1" applyAlignment="1">
      <alignment wrapText="1"/>
    </xf>
    <xf numFmtId="0" fontId="3" fillId="3" borderId="100" xfId="0" applyFont="1" applyFill="1" applyBorder="1"/>
    <xf numFmtId="0" fontId="4" fillId="3" borderId="75" xfId="0" applyFont="1" applyFill="1" applyBorder="1" applyAlignment="1">
      <alignment horizontal="center" wrapText="1"/>
    </xf>
    <xf numFmtId="0" fontId="3" fillId="0" borderId="96"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3" xfId="0" applyFont="1" applyFill="1" applyBorder="1" applyAlignment="1">
      <alignment horizontal="center" vertical="center" wrapText="1"/>
    </xf>
    <xf numFmtId="0" fontId="3" fillId="0" borderId="18" xfId="0" applyFont="1" applyBorder="1"/>
    <xf numFmtId="0" fontId="3" fillId="0" borderId="96" xfId="0" applyFont="1" applyBorder="1" applyAlignment="1">
      <alignment wrapText="1"/>
    </xf>
    <xf numFmtId="164" fontId="3" fillId="0" borderId="96" xfId="7" applyNumberFormat="1" applyFont="1" applyBorder="1"/>
    <xf numFmtId="164" fontId="3" fillId="0" borderId="81" xfId="7" applyNumberFormat="1" applyFont="1" applyBorder="1"/>
    <xf numFmtId="0" fontId="100" fillId="0" borderId="96" xfId="0" applyFont="1" applyBorder="1" applyAlignment="1">
      <alignment horizontal="left" wrapText="1" indent="2"/>
    </xf>
    <xf numFmtId="169" fontId="9" fillId="37" borderId="96" xfId="20" applyBorder="1"/>
    <xf numFmtId="164" fontId="3" fillId="0" borderId="96" xfId="7" applyNumberFormat="1" applyFont="1" applyBorder="1" applyAlignment="1">
      <alignment vertical="center"/>
    </xf>
    <xf numFmtId="0" fontId="4" fillId="0" borderId="18" xfId="0" applyFont="1" applyBorder="1"/>
    <xf numFmtId="0" fontId="4" fillId="0" borderId="96"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3" xfId="7" applyNumberFormat="1" applyFont="1" applyFill="1" applyBorder="1"/>
    <xf numFmtId="164" fontId="3" fillId="0" borderId="96" xfId="7" applyNumberFormat="1" applyFont="1" applyFill="1" applyBorder="1"/>
    <xf numFmtId="0" fontId="100" fillId="0" borderId="96"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3"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6" xfId="0" applyFont="1" applyFill="1" applyBorder="1" applyAlignment="1">
      <alignment horizontal="right" vertical="center"/>
    </xf>
    <xf numFmtId="0" fontId="2" fillId="0" borderId="94" xfId="0" applyFont="1" applyBorder="1" applyAlignment="1">
      <alignment vertical="center" wrapText="1"/>
    </xf>
    <xf numFmtId="193" fontId="2" fillId="2" borderId="94" xfId="0" applyNumberFormat="1" applyFont="1" applyFill="1" applyBorder="1" applyAlignment="1" applyProtection="1">
      <alignment vertical="center"/>
      <protection locked="0"/>
    </xf>
    <xf numFmtId="193" fontId="87" fillId="2" borderId="94" xfId="0" applyNumberFormat="1" applyFont="1" applyFill="1" applyBorder="1" applyAlignment="1" applyProtection="1">
      <alignment vertical="center"/>
      <protection locked="0"/>
    </xf>
    <xf numFmtId="193" fontId="87" fillId="2" borderId="89"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1" xfId="17" applyBorder="1" applyAlignment="1" applyProtection="1"/>
    <xf numFmtId="0" fontId="114" fillId="0" borderId="0" xfId="0" applyFont="1" applyAlignment="1">
      <alignment horizontal="left" vertical="top" wrapText="1"/>
    </xf>
    <xf numFmtId="193" fontId="2" fillId="3" borderId="81" xfId="2" applyNumberFormat="1" applyFont="1" applyFill="1" applyBorder="1" applyAlignment="1" applyProtection="1">
      <alignment vertical="top" wrapText="1"/>
      <protection locked="0"/>
    </xf>
    <xf numFmtId="0" fontId="2" fillId="0" borderId="111" xfId="0" applyFont="1" applyBorder="1" applyAlignment="1">
      <alignment horizontal="center" vertical="center" wrapText="1"/>
    </xf>
    <xf numFmtId="0" fontId="112" fillId="0" borderId="111" xfId="0" applyFont="1" applyBorder="1" applyAlignment="1">
      <alignment horizontal="center" vertical="center"/>
    </xf>
    <xf numFmtId="0" fontId="0" fillId="0" borderId="111" xfId="0" applyBorder="1" applyAlignment="1">
      <alignment horizontal="center"/>
    </xf>
    <xf numFmtId="0" fontId="125" fillId="3" borderId="111" xfId="20966" applyFont="1" applyFill="1" applyBorder="1" applyAlignment="1">
      <alignment horizontal="left" vertical="center" wrapText="1"/>
    </xf>
    <xf numFmtId="0" fontId="126" fillId="0" borderId="111" xfId="20966" applyFont="1" applyBorder="1" applyAlignment="1">
      <alignment horizontal="left" vertical="center" wrapText="1" indent="1"/>
    </xf>
    <xf numFmtId="0" fontId="127" fillId="3" borderId="121" xfId="0" applyFont="1" applyFill="1" applyBorder="1" applyAlignment="1">
      <alignment horizontal="left" vertical="center" wrapText="1"/>
    </xf>
    <xf numFmtId="0" fontId="126" fillId="3" borderId="111" xfId="20966" applyFont="1" applyFill="1" applyBorder="1" applyAlignment="1">
      <alignment horizontal="left" vertical="center" wrapText="1" indent="1"/>
    </xf>
    <xf numFmtId="0" fontId="125" fillId="0" borderId="121" xfId="0" applyFont="1" applyBorder="1" applyAlignment="1">
      <alignment horizontal="left" vertical="center" wrapText="1"/>
    </xf>
    <xf numFmtId="0" fontId="127" fillId="0" borderId="121" xfId="0" applyFont="1" applyBorder="1" applyAlignment="1">
      <alignment horizontal="left" vertical="center" wrapText="1"/>
    </xf>
    <xf numFmtId="0" fontId="127" fillId="0" borderId="121" xfId="0" applyFont="1" applyBorder="1" applyAlignment="1">
      <alignment vertical="center" wrapText="1"/>
    </xf>
    <xf numFmtId="0" fontId="128" fillId="0" borderId="121" xfId="0" applyFont="1" applyBorder="1" applyAlignment="1">
      <alignment horizontal="left" vertical="center" wrapText="1" indent="1"/>
    </xf>
    <xf numFmtId="0" fontId="128" fillId="3" borderId="121" xfId="0" applyFont="1" applyFill="1" applyBorder="1" applyAlignment="1">
      <alignment horizontal="left" vertical="center" wrapText="1" indent="1"/>
    </xf>
    <xf numFmtId="0" fontId="127" fillId="3" borderId="122" xfId="0" applyFont="1" applyFill="1" applyBorder="1" applyAlignment="1">
      <alignment horizontal="left" vertical="center" wrapText="1"/>
    </xf>
    <xf numFmtId="0" fontId="128" fillId="0" borderId="111" xfId="20966" applyFont="1" applyBorder="1" applyAlignment="1">
      <alignment horizontal="left" vertical="center" wrapText="1" indent="1"/>
    </xf>
    <xf numFmtId="0" fontId="127" fillId="0" borderId="111" xfId="0" applyFont="1" applyBorder="1" applyAlignment="1">
      <alignment horizontal="left" vertical="center" wrapText="1"/>
    </xf>
    <xf numFmtId="0" fontId="129" fillId="0" borderId="111" xfId="20966" applyFont="1" applyBorder="1" applyAlignment="1">
      <alignment horizontal="center" vertical="center" wrapText="1"/>
    </xf>
    <xf numFmtId="0" fontId="127" fillId="3" borderId="123" xfId="0" applyFont="1" applyFill="1" applyBorder="1" applyAlignment="1">
      <alignment horizontal="left" vertical="center" wrapText="1"/>
    </xf>
    <xf numFmtId="0" fontId="0" fillId="0" borderId="124" xfId="0" applyBorder="1"/>
    <xf numFmtId="0" fontId="0" fillId="0" borderId="124" xfId="0" applyBorder="1" applyAlignment="1">
      <alignment horizontal="center"/>
    </xf>
    <xf numFmtId="0" fontId="126" fillId="3" borderId="124" xfId="20966" applyFont="1" applyFill="1" applyBorder="1" applyAlignment="1">
      <alignment horizontal="left" vertical="center" wrapText="1" indent="1"/>
    </xf>
    <xf numFmtId="0" fontId="126" fillId="3" borderId="121" xfId="0" applyFont="1" applyFill="1" applyBorder="1" applyAlignment="1">
      <alignment horizontal="left" vertical="center" wrapText="1" indent="1"/>
    </xf>
    <xf numFmtId="0" fontId="126" fillId="0" borderId="124" xfId="20966" applyFont="1" applyBorder="1" applyAlignment="1">
      <alignment horizontal="left" vertical="center" wrapText="1" indent="1"/>
    </xf>
    <xf numFmtId="0" fontId="126" fillId="0" borderId="121" xfId="0" applyFont="1" applyBorder="1" applyAlignment="1">
      <alignment horizontal="left" vertical="center" wrapText="1" indent="1"/>
    </xf>
    <xf numFmtId="0" fontId="126" fillId="0" borderId="122" xfId="0" applyFont="1" applyBorder="1" applyAlignment="1">
      <alignment horizontal="left" vertical="center" wrapText="1" indent="1"/>
    </xf>
    <xf numFmtId="0" fontId="127" fillId="0" borderId="124" xfId="20966" applyFont="1" applyBorder="1" applyAlignment="1">
      <alignment horizontal="left" vertical="center" wrapText="1"/>
    </xf>
    <xf numFmtId="0" fontId="127" fillId="0" borderId="124" xfId="0" applyFont="1" applyBorder="1" applyAlignment="1">
      <alignment vertical="center" wrapText="1"/>
    </xf>
    <xf numFmtId="0" fontId="129" fillId="0" borderId="124" xfId="20966" applyFont="1" applyBorder="1" applyAlignment="1">
      <alignment horizontal="center" vertical="center" wrapText="1"/>
    </xf>
    <xf numFmtId="0" fontId="127" fillId="3" borderId="124" xfId="20966" applyFont="1" applyFill="1" applyBorder="1" applyAlignment="1">
      <alignment horizontal="left" vertical="center" wrapText="1"/>
    </xf>
    <xf numFmtId="0" fontId="130" fillId="0" borderId="0" xfId="0" applyFont="1" applyAlignment="1">
      <alignment horizontal="justify"/>
    </xf>
    <xf numFmtId="0" fontId="127" fillId="0" borderId="124"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4" xfId="0" applyFont="1" applyBorder="1" applyAlignment="1">
      <alignment horizontal="center" vertical="center" wrapText="1"/>
    </xf>
    <xf numFmtId="0" fontId="0" fillId="0" borderId="124" xfId="0" applyBorder="1" applyAlignment="1">
      <alignment horizontal="center" vertical="center"/>
    </xf>
    <xf numFmtId="0" fontId="127" fillId="0" borderId="129" xfId="0" applyFont="1" applyBorder="1" applyAlignment="1">
      <alignment horizontal="justify" vertical="center" wrapText="1"/>
    </xf>
    <xf numFmtId="0" fontId="127" fillId="0" borderId="121" xfId="0" applyFont="1" applyBorder="1" applyAlignment="1">
      <alignment horizontal="justify" vertical="center" wrapText="1"/>
    </xf>
    <xf numFmtId="0" fontId="125" fillId="0" borderId="121" xfId="0" applyFont="1" applyBorder="1" applyAlignment="1">
      <alignment horizontal="justify" vertical="center" wrapText="1"/>
    </xf>
    <xf numFmtId="0" fontId="127" fillId="3" borderId="121" xfId="0" applyFont="1" applyFill="1" applyBorder="1" applyAlignment="1">
      <alignment horizontal="justify" vertical="center" wrapText="1"/>
    </xf>
    <xf numFmtId="0" fontId="127" fillId="0" borderId="122" xfId="0" applyFont="1" applyBorder="1" applyAlignment="1">
      <alignment horizontal="justify" vertical="center" wrapText="1"/>
    </xf>
    <xf numFmtId="0" fontId="127" fillId="0" borderId="123" xfId="0" applyFont="1" applyBorder="1" applyAlignment="1">
      <alignment horizontal="justify" vertical="center" wrapText="1"/>
    </xf>
    <xf numFmtId="0" fontId="125" fillId="0" borderId="121" xfId="0" applyFont="1" applyBorder="1" applyAlignment="1">
      <alignment vertical="center" wrapText="1"/>
    </xf>
    <xf numFmtId="0" fontId="126" fillId="0" borderId="121" xfId="0" applyFont="1" applyBorder="1" applyAlignment="1">
      <alignment horizontal="left" vertical="center" wrapText="1"/>
    </xf>
    <xf numFmtId="0" fontId="127" fillId="0" borderId="130" xfId="0" applyFont="1" applyBorder="1" applyAlignment="1">
      <alignment vertical="center" wrapText="1"/>
    </xf>
    <xf numFmtId="0" fontId="127" fillId="3" borderId="121" xfId="0" applyFont="1" applyFill="1" applyBorder="1" applyAlignment="1">
      <alignment vertical="center" wrapText="1"/>
    </xf>
    <xf numFmtId="0" fontId="105" fillId="0" borderId="127" xfId="0" applyFont="1" applyBorder="1" applyAlignment="1">
      <alignment vertical="center" wrapText="1"/>
    </xf>
    <xf numFmtId="193" fontId="95" fillId="0" borderId="124" xfId="0" applyNumberFormat="1" applyFont="1" applyBorder="1" applyAlignment="1">
      <alignment horizontal="right"/>
    </xf>
    <xf numFmtId="0" fontId="2" fillId="0" borderId="127" xfId="0" applyFont="1" applyBorder="1" applyAlignment="1">
      <alignment horizontal="left" vertical="center" wrapText="1" indent="4"/>
    </xf>
    <xf numFmtId="0" fontId="45" fillId="0" borderId="127" xfId="0" applyFont="1" applyBorder="1" applyAlignment="1">
      <alignment vertical="center" wrapText="1"/>
    </xf>
    <xf numFmtId="0" fontId="2" fillId="0" borderId="124" xfId="0" applyFont="1" applyBorder="1" applyAlignment="1" applyProtection="1">
      <alignment horizontal="left" vertical="center" indent="11"/>
      <protection locked="0"/>
    </xf>
    <xf numFmtId="0" fontId="46" fillId="0" borderId="124" xfId="0" applyFont="1" applyBorder="1" applyAlignment="1" applyProtection="1">
      <alignment horizontal="left" vertical="center" indent="17"/>
      <protection locked="0"/>
    </xf>
    <xf numFmtId="0" fontId="112" fillId="0" borderId="124" xfId="0" applyFont="1" applyBorder="1" applyAlignment="1">
      <alignment vertical="center"/>
    </xf>
    <xf numFmtId="0" fontId="96" fillId="0" borderId="124" xfId="0" applyFont="1" applyBorder="1" applyAlignment="1">
      <alignment vertical="center" wrapText="1"/>
    </xf>
    <xf numFmtId="0" fontId="97" fillId="0" borderId="127" xfId="0" applyFont="1" applyBorder="1" applyAlignment="1">
      <alignment horizontal="left" vertical="center" wrapText="1"/>
    </xf>
    <xf numFmtId="0" fontId="2" fillId="0" borderId="127" xfId="0" applyFont="1" applyBorder="1" applyAlignment="1">
      <alignment horizontal="left" vertical="center" wrapText="1"/>
    </xf>
    <xf numFmtId="193" fontId="95" fillId="0" borderId="0" xfId="0" applyNumberFormat="1" applyFont="1" applyAlignment="1">
      <alignment horizontal="right"/>
    </xf>
    <xf numFmtId="0" fontId="126" fillId="3" borderId="122" xfId="0"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167" fontId="84" fillId="0" borderId="124" xfId="0" applyNumberFormat="1" applyFont="1" applyBorder="1" applyAlignment="1">
      <alignment horizontal="center"/>
    </xf>
    <xf numFmtId="0" fontId="84" fillId="0" borderId="124" xfId="0" applyFont="1" applyBorder="1"/>
    <xf numFmtId="0" fontId="126" fillId="0" borderId="124" xfId="0" applyFont="1" applyBorder="1" applyAlignment="1">
      <alignment horizontal="left" vertical="center" wrapText="1" indent="1"/>
    </xf>
    <xf numFmtId="0" fontId="127" fillId="3" borderId="124" xfId="0" applyFont="1" applyFill="1" applyBorder="1" applyAlignment="1">
      <alignment horizontal="left" vertical="center" wrapText="1"/>
    </xf>
    <xf numFmtId="0" fontId="128" fillId="3" borderId="124" xfId="0" applyFont="1" applyFill="1" applyBorder="1" applyAlignment="1">
      <alignment horizontal="left" vertical="center" wrapText="1" indent="1"/>
    </xf>
    <xf numFmtId="0" fontId="130" fillId="0" borderId="124" xfId="0" applyFont="1" applyBorder="1" applyAlignment="1">
      <alignment horizontal="justify"/>
    </xf>
    <xf numFmtId="167" fontId="86" fillId="0" borderId="124"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4" xfId="0" applyFont="1" applyBorder="1"/>
    <xf numFmtId="49" fontId="119" fillId="0" borderId="124" xfId="5" applyNumberFormat="1" applyFont="1" applyBorder="1" applyAlignment="1" applyProtection="1">
      <alignment horizontal="right" vertical="center"/>
      <protection locked="0"/>
    </xf>
    <xf numFmtId="0" fontId="118" fillId="3" borderId="124" xfId="13" applyFont="1" applyFill="1" applyBorder="1" applyAlignment="1" applyProtection="1">
      <alignment horizontal="left" vertical="center" wrapText="1"/>
      <protection locked="0"/>
    </xf>
    <xf numFmtId="49" fontId="118" fillId="3" borderId="124" xfId="5" applyNumberFormat="1" applyFont="1" applyFill="1" applyBorder="1" applyAlignment="1" applyProtection="1">
      <alignment horizontal="right" vertical="center"/>
      <protection locked="0"/>
    </xf>
    <xf numFmtId="0" fontId="118" fillId="0" borderId="124" xfId="13" applyFont="1" applyBorder="1" applyAlignment="1" applyProtection="1">
      <alignment horizontal="left" vertical="center" wrapText="1"/>
      <protection locked="0"/>
    </xf>
    <xf numFmtId="49" fontId="118" fillId="0" borderId="124" xfId="5" applyNumberFormat="1" applyFont="1" applyBorder="1" applyAlignment="1" applyProtection="1">
      <alignment horizontal="right" vertical="center"/>
      <protection locked="0"/>
    </xf>
    <xf numFmtId="0" fontId="120" fillId="0" borderId="124" xfId="13" applyFont="1" applyBorder="1" applyAlignment="1" applyProtection="1">
      <alignment horizontal="left" vertical="center" wrapText="1"/>
      <protection locked="0"/>
    </xf>
    <xf numFmtId="0" fontId="117" fillId="0" borderId="124"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166" fontId="113" fillId="36" borderId="124" xfId="20965" applyFont="1" applyFill="1" applyBorder="1"/>
    <xf numFmtId="0" fontId="113" fillId="0" borderId="124" xfId="0" applyFont="1" applyBorder="1"/>
    <xf numFmtId="0" fontId="113" fillId="0" borderId="124" xfId="0" applyFont="1" applyBorder="1" applyAlignment="1">
      <alignment horizontal="left" indent="8"/>
    </xf>
    <xf numFmtId="0" fontId="113" fillId="0" borderId="124" xfId="0" applyFont="1" applyBorder="1" applyAlignment="1">
      <alignment wrapText="1"/>
    </xf>
    <xf numFmtId="0" fontId="117" fillId="0" borderId="0" xfId="0" applyFont="1"/>
    <xf numFmtId="0" fontId="116" fillId="0" borderId="124" xfId="0" applyFont="1" applyBorder="1"/>
    <xf numFmtId="49" fontId="119" fillId="0" borderId="124" xfId="5" applyNumberFormat="1" applyFont="1" applyBorder="1" applyAlignment="1" applyProtection="1">
      <alignment horizontal="right" vertical="center" wrapText="1"/>
      <protection locked="0"/>
    </xf>
    <xf numFmtId="49" fontId="118" fillId="3" borderId="124" xfId="5" applyNumberFormat="1" applyFont="1" applyFill="1" applyBorder="1" applyAlignment="1" applyProtection="1">
      <alignment horizontal="right" vertical="center" wrapText="1"/>
      <protection locked="0"/>
    </xf>
    <xf numFmtId="49" fontId="118" fillId="0" borderId="124" xfId="5" applyNumberFormat="1" applyFont="1" applyBorder="1" applyAlignment="1" applyProtection="1">
      <alignment horizontal="right" vertical="center" wrapText="1"/>
      <protection locked="0"/>
    </xf>
    <xf numFmtId="0" fontId="113" fillId="0" borderId="124"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4"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4" xfId="0" applyFont="1" applyBorder="1" applyAlignment="1">
      <alignment horizontal="left" vertical="center" wrapText="1"/>
    </xf>
    <xf numFmtId="0" fontId="116" fillId="0" borderId="124" xfId="0" applyFont="1" applyBorder="1" applyAlignment="1">
      <alignment horizontal="left" wrapText="1" indent="1"/>
    </xf>
    <xf numFmtId="0" fontId="116" fillId="0" borderId="124" xfId="0" applyFont="1" applyBorder="1" applyAlignment="1">
      <alignment horizontal="left" vertical="center" indent="1"/>
    </xf>
    <xf numFmtId="0" fontId="114" fillId="0" borderId="124" xfId="0" applyFont="1" applyBorder="1"/>
    <xf numFmtId="0" fontId="113" fillId="0" borderId="124" xfId="0" applyFont="1" applyBorder="1" applyAlignment="1">
      <alignment horizontal="left" wrapText="1" indent="1"/>
    </xf>
    <xf numFmtId="0" fontId="113" fillId="0" borderId="124" xfId="0" applyFont="1" applyBorder="1" applyAlignment="1">
      <alignment horizontal="left" indent="1"/>
    </xf>
    <xf numFmtId="0" fontId="113" fillId="0" borderId="124" xfId="0" applyFont="1" applyBorder="1" applyAlignment="1">
      <alignment horizontal="left" wrapText="1" indent="4"/>
    </xf>
    <xf numFmtId="0" fontId="113" fillId="0" borderId="124" xfId="0" applyFont="1" applyBorder="1" applyAlignment="1">
      <alignment horizontal="left" indent="3"/>
    </xf>
    <xf numFmtId="0" fontId="116" fillId="0" borderId="124" xfId="0" applyFont="1" applyBorder="1" applyAlignment="1">
      <alignment horizontal="left" indent="1"/>
    </xf>
    <xf numFmtId="0" fontId="114" fillId="78" borderId="124" xfId="0" applyFont="1" applyFill="1" applyBorder="1"/>
    <xf numFmtId="0" fontId="117" fillId="0" borderId="7" xfId="0" applyFont="1" applyBorder="1"/>
    <xf numFmtId="0" fontId="114" fillId="0" borderId="124" xfId="0" applyFont="1" applyBorder="1" applyAlignment="1">
      <alignment horizontal="left" wrapText="1" indent="2"/>
    </xf>
    <xf numFmtId="0" fontId="114" fillId="0" borderId="124" xfId="0" applyFont="1" applyBorder="1" applyAlignment="1">
      <alignment horizontal="left" wrapText="1"/>
    </xf>
    <xf numFmtId="0" fontId="113" fillId="0" borderId="124"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3" xfId="0" applyFont="1" applyBorder="1" applyAlignment="1">
      <alignment horizontal="center" vertical="center" wrapText="1"/>
    </xf>
    <xf numFmtId="0" fontId="113" fillId="0" borderId="127" xfId="0" applyFont="1" applyBorder="1" applyAlignment="1">
      <alignment horizontal="center" vertical="center" wrapText="1"/>
    </xf>
    <xf numFmtId="0" fontId="113" fillId="0" borderId="104" xfId="0" applyFont="1" applyBorder="1" applyAlignment="1">
      <alignment horizontal="center" vertical="center" wrapText="1"/>
    </xf>
    <xf numFmtId="0" fontId="113" fillId="0" borderId="23" xfId="0" applyFont="1" applyBorder="1"/>
    <xf numFmtId="0" fontId="113" fillId="0" borderId="22" xfId="0" applyFont="1" applyBorder="1"/>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0" fontId="113" fillId="0" borderId="81" xfId="0" applyFont="1" applyBorder="1"/>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0" fontId="113" fillId="79" borderId="81" xfId="0" applyFont="1" applyFill="1" applyBorder="1"/>
    <xf numFmtId="0" fontId="113" fillId="79" borderId="124" xfId="0" applyFont="1" applyFill="1" applyBorder="1"/>
    <xf numFmtId="0" fontId="113" fillId="79" borderId="18" xfId="0" applyFont="1" applyFill="1" applyBorder="1"/>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4"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4"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19" xfId="0" applyFont="1" applyBorder="1" applyAlignment="1">
      <alignment horizontal="left" vertical="center" wrapText="1" indent="1" readingOrder="1"/>
    </xf>
    <xf numFmtId="0" fontId="134" fillId="0" borderId="124" xfId="0" applyFont="1" applyBorder="1" applyAlignment="1">
      <alignment horizontal="left" indent="3"/>
    </xf>
    <xf numFmtId="0" fontId="116" fillId="0" borderId="124" xfId="0" applyFont="1" applyBorder="1" applyAlignment="1">
      <alignment vertical="center" wrapText="1" readingOrder="1"/>
    </xf>
    <xf numFmtId="0" fontId="134" fillId="0" borderId="124" xfId="0" applyFont="1" applyBorder="1" applyAlignment="1">
      <alignment horizontal="left" indent="2"/>
    </xf>
    <xf numFmtId="0" fontId="113" fillId="0" borderId="120" xfId="0" applyFont="1" applyBorder="1" applyAlignment="1">
      <alignment vertical="center" wrapText="1" readingOrder="1"/>
    </xf>
    <xf numFmtId="0" fontId="134" fillId="0" borderId="128" xfId="0" applyFont="1" applyBorder="1" applyAlignment="1">
      <alignment horizontal="left" indent="2"/>
    </xf>
    <xf numFmtId="0" fontId="113" fillId="0" borderId="119" xfId="0" applyFont="1" applyBorder="1" applyAlignment="1">
      <alignment vertical="center" wrapText="1" readingOrder="1"/>
    </xf>
    <xf numFmtId="0" fontId="113" fillId="0" borderId="118"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4"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86" xfId="0" applyNumberFormat="1" applyFont="1" applyFill="1" applyBorder="1" applyAlignment="1" applyProtection="1">
      <alignment vertical="center"/>
      <protection locked="0"/>
    </xf>
    <xf numFmtId="193" fontId="87" fillId="2" borderId="128"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137" fillId="0" borderId="125" xfId="0" applyFont="1" applyBorder="1" applyAlignment="1">
      <alignment wrapText="1"/>
    </xf>
    <xf numFmtId="0" fontId="6" fillId="0" borderId="3" xfId="17" applyBorder="1" applyAlignment="1" applyProtection="1"/>
    <xf numFmtId="10" fontId="3" fillId="0" borderId="124" xfId="20962" applyNumberFormat="1" applyFont="1" applyFill="1" applyBorder="1" applyAlignment="1" applyProtection="1">
      <alignment horizontal="right" vertical="center" wrapText="1"/>
    </xf>
    <xf numFmtId="10" fontId="3" fillId="0" borderId="124" xfId="20962" applyNumberFormat="1" applyFont="1" applyBorder="1" applyAlignment="1" applyProtection="1">
      <alignment vertical="center" wrapText="1"/>
      <protection locked="0"/>
    </xf>
    <xf numFmtId="10" fontId="3" fillId="0" borderId="81" xfId="20962" applyNumberFormat="1" applyFont="1" applyBorder="1" applyAlignment="1" applyProtection="1">
      <alignment vertical="center" wrapText="1"/>
      <protection locked="0"/>
    </xf>
    <xf numFmtId="10" fontId="3" fillId="0" borderId="18" xfId="20962" applyNumberFormat="1" applyFont="1" applyBorder="1" applyAlignment="1" applyProtection="1">
      <alignment vertical="center" wrapText="1"/>
      <protection locked="0"/>
    </xf>
    <xf numFmtId="10" fontId="3" fillId="0" borderId="124" xfId="20962" applyNumberFormat="1" applyFont="1" applyFill="1" applyBorder="1" applyAlignment="1" applyProtection="1">
      <alignment horizontal="right" vertical="center" wrapText="1"/>
      <protection locked="0"/>
    </xf>
    <xf numFmtId="0" fontId="85" fillId="0" borderId="70" xfId="0" applyFont="1" applyBorder="1"/>
    <xf numFmtId="10" fontId="95" fillId="2" borderId="124"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protection locked="0"/>
    </xf>
    <xf numFmtId="10" fontId="138" fillId="2" borderId="81" xfId="20962" applyNumberFormat="1" applyFont="1" applyFill="1" applyBorder="1" applyAlignment="1" applyProtection="1">
      <alignment vertical="center"/>
      <protection locked="0"/>
    </xf>
    <xf numFmtId="10" fontId="138" fillId="2" borderId="18" xfId="20962" applyNumberFormat="1" applyFont="1" applyFill="1" applyBorder="1" applyAlignment="1" applyProtection="1">
      <alignment vertical="center"/>
      <protection locked="0"/>
    </xf>
    <xf numFmtId="10" fontId="138" fillId="2" borderId="124" xfId="20962" applyNumberFormat="1" applyFont="1" applyFill="1" applyBorder="1" applyAlignment="1" applyProtection="1">
      <alignment vertical="center"/>
    </xf>
    <xf numFmtId="10" fontId="138" fillId="2" borderId="81" xfId="20962" applyNumberFormat="1" applyFont="1" applyFill="1" applyBorder="1" applyAlignment="1" applyProtection="1">
      <alignment vertical="center"/>
    </xf>
    <xf numFmtId="10" fontId="95" fillId="2" borderId="81" xfId="20962" applyNumberFormat="1" applyFont="1" applyFill="1" applyBorder="1" applyAlignment="1" applyProtection="1">
      <alignment vertical="center"/>
      <protection locked="0"/>
    </xf>
    <xf numFmtId="10" fontId="95" fillId="2" borderId="18" xfId="20962" applyNumberFormat="1" applyFont="1" applyFill="1" applyBorder="1" applyAlignment="1" applyProtection="1">
      <alignment vertical="center"/>
      <protection locked="0"/>
    </xf>
    <xf numFmtId="164" fontId="95" fillId="2" borderId="124" xfId="7" applyNumberFormat="1" applyFont="1" applyFill="1" applyBorder="1" applyAlignment="1" applyProtection="1">
      <alignment vertical="center"/>
      <protection locked="0"/>
    </xf>
    <xf numFmtId="193" fontId="95" fillId="2" borderId="81" xfId="0" applyNumberFormat="1" applyFont="1" applyFill="1" applyBorder="1" applyAlignment="1" applyProtection="1">
      <alignment vertical="center"/>
      <protection locked="0"/>
    </xf>
    <xf numFmtId="193" fontId="95" fillId="0" borderId="124" xfId="0" applyNumberFormat="1" applyFont="1" applyBorder="1" applyAlignment="1" applyProtection="1">
      <alignment vertical="center"/>
      <protection locked="0"/>
    </xf>
    <xf numFmtId="193" fontId="95" fillId="2" borderId="124" xfId="0" applyNumberFormat="1" applyFont="1" applyFill="1" applyBorder="1" applyAlignment="1" applyProtection="1">
      <alignment vertical="center"/>
      <protection locked="0"/>
    </xf>
    <xf numFmtId="164" fontId="138" fillId="2" borderId="124" xfId="7" applyNumberFormat="1" applyFont="1" applyFill="1" applyBorder="1" applyAlignment="1" applyProtection="1">
      <alignment vertical="center"/>
      <protection locked="0"/>
    </xf>
    <xf numFmtId="193" fontId="138" fillId="2" borderId="81" xfId="0" applyNumberFormat="1" applyFont="1" applyFill="1" applyBorder="1" applyAlignment="1" applyProtection="1">
      <alignment vertical="center"/>
      <protection locked="0"/>
    </xf>
    <xf numFmtId="193" fontId="138" fillId="2" borderId="124" xfId="0" applyNumberFormat="1" applyFont="1" applyFill="1" applyBorder="1" applyAlignment="1" applyProtection="1">
      <alignment vertical="center"/>
      <protection locked="0"/>
    </xf>
    <xf numFmtId="9" fontId="95" fillId="2" borderId="124" xfId="20962" applyFont="1" applyFill="1" applyBorder="1" applyAlignment="1" applyProtection="1">
      <alignment vertical="center"/>
      <protection locked="0"/>
    </xf>
    <xf numFmtId="10" fontId="95" fillId="2" borderId="124" xfId="20962" applyNumberFormat="1" applyFont="1" applyFill="1" applyBorder="1" applyAlignment="1" applyProtection="1">
      <alignment vertical="center"/>
    </xf>
    <xf numFmtId="9" fontId="95" fillId="2" borderId="124" xfId="20962" applyFont="1" applyFill="1" applyBorder="1" applyAlignment="1" applyProtection="1">
      <alignment vertical="center"/>
    </xf>
    <xf numFmtId="9" fontId="95" fillId="2" borderId="81" xfId="20962" applyFont="1" applyFill="1" applyBorder="1" applyAlignment="1" applyProtection="1">
      <alignment vertical="center"/>
      <protection locked="0"/>
    </xf>
    <xf numFmtId="165" fontId="95" fillId="0" borderId="124" xfId="20962" applyNumberFormat="1" applyFont="1" applyFill="1" applyBorder="1" applyAlignment="1" applyProtection="1">
      <alignment vertical="center"/>
      <protection locked="0"/>
    </xf>
    <xf numFmtId="10" fontId="95" fillId="0" borderId="124" xfId="20962" applyNumberFormat="1" applyFont="1" applyFill="1" applyBorder="1" applyAlignment="1" applyProtection="1">
      <alignment vertical="center"/>
      <protection locked="0"/>
    </xf>
    <xf numFmtId="193" fontId="95" fillId="2" borderId="128" xfId="0" applyNumberFormat="1" applyFont="1" applyFill="1" applyBorder="1" applyAlignment="1" applyProtection="1">
      <alignment vertical="center"/>
      <protection locked="0"/>
    </xf>
    <xf numFmtId="193" fontId="138" fillId="2" borderId="128" xfId="0" applyNumberFormat="1" applyFont="1" applyFill="1" applyBorder="1" applyAlignment="1" applyProtection="1">
      <alignment vertical="center"/>
      <protection locked="0"/>
    </xf>
    <xf numFmtId="193" fontId="138" fillId="2" borderId="89" xfId="0" applyNumberFormat="1" applyFont="1" applyFill="1" applyBorder="1" applyAlignment="1" applyProtection="1">
      <alignment vertical="center"/>
      <protection locked="0"/>
    </xf>
    <xf numFmtId="193" fontId="95" fillId="0" borderId="128" xfId="0" applyNumberFormat="1" applyFont="1" applyBorder="1" applyAlignment="1" applyProtection="1">
      <alignment vertical="center"/>
      <protection locked="0"/>
    </xf>
    <xf numFmtId="165" fontId="95" fillId="2" borderId="22" xfId="20962" applyNumberFormat="1" applyFont="1" applyFill="1" applyBorder="1" applyAlignment="1" applyProtection="1">
      <alignment vertical="center"/>
      <protection locked="0"/>
    </xf>
    <xf numFmtId="9" fontId="138" fillId="2" borderId="22" xfId="20962" applyFont="1" applyFill="1" applyBorder="1" applyAlignment="1" applyProtection="1">
      <alignment vertical="center"/>
      <protection locked="0"/>
    </xf>
    <xf numFmtId="9" fontId="138" fillId="2" borderId="23" xfId="20962" applyFont="1" applyFill="1" applyBorder="1" applyAlignment="1" applyProtection="1">
      <alignment vertical="center"/>
      <protection locked="0"/>
    </xf>
    <xf numFmtId="9" fontId="95" fillId="0" borderId="22" xfId="20962" applyFont="1" applyFill="1" applyBorder="1" applyAlignment="1" applyProtection="1">
      <alignment vertical="center"/>
      <protection locked="0"/>
    </xf>
    <xf numFmtId="9" fontId="95" fillId="2" borderId="22" xfId="20962" applyFont="1" applyFill="1" applyBorder="1" applyAlignment="1" applyProtection="1">
      <alignment vertical="center"/>
      <protection locked="0"/>
    </xf>
    <xf numFmtId="164" fontId="0" fillId="0" borderId="124" xfId="7" applyNumberFormat="1" applyFont="1" applyBorder="1"/>
    <xf numFmtId="164" fontId="0" fillId="0" borderId="124" xfId="7" applyNumberFormat="1" applyFont="1" applyBorder="1" applyAlignment="1">
      <alignment vertical="center"/>
    </xf>
    <xf numFmtId="164" fontId="0" fillId="36" borderId="111" xfId="7" applyNumberFormat="1" applyFont="1" applyFill="1" applyBorder="1"/>
    <xf numFmtId="164" fontId="0" fillId="36" borderId="111" xfId="7" applyNumberFormat="1" applyFont="1" applyFill="1" applyBorder="1" applyAlignment="1">
      <alignment vertical="center"/>
    </xf>
    <xf numFmtId="164" fontId="0" fillId="0" borderId="124" xfId="7" applyNumberFormat="1" applyFont="1" applyFill="1" applyBorder="1"/>
    <xf numFmtId="164" fontId="0" fillId="36" borderId="124" xfId="7" applyNumberFormat="1" applyFont="1" applyFill="1" applyBorder="1"/>
    <xf numFmtId="164" fontId="95" fillId="36" borderId="124" xfId="7" applyNumberFormat="1" applyFont="1" applyFill="1" applyBorder="1" applyAlignment="1">
      <alignment horizontal="right"/>
    </xf>
    <xf numFmtId="164" fontId="95" fillId="36" borderId="81" xfId="7" applyNumberFormat="1" applyFont="1" applyFill="1" applyBorder="1" applyAlignment="1">
      <alignment horizontal="right"/>
    </xf>
    <xf numFmtId="3" fontId="104" fillId="0" borderId="124" xfId="0" applyNumberFormat="1" applyFont="1" applyBorder="1" applyAlignment="1">
      <alignment vertical="center" wrapText="1"/>
    </xf>
    <xf numFmtId="3" fontId="104" fillId="0" borderId="125" xfId="0" applyNumberFormat="1" applyFont="1" applyBorder="1" applyAlignment="1">
      <alignment vertical="center" wrapText="1"/>
    </xf>
    <xf numFmtId="0" fontId="2" fillId="0" borderId="125" xfId="0" applyFont="1" applyBorder="1" applyAlignment="1">
      <alignment wrapText="1"/>
    </xf>
    <xf numFmtId="0" fontId="84" fillId="0" borderId="84" xfId="0" applyFont="1" applyBorder="1"/>
    <xf numFmtId="0" fontId="2" fillId="0" borderId="86" xfId="0" applyFont="1" applyBorder="1" applyAlignment="1">
      <alignment vertical="center"/>
    </xf>
    <xf numFmtId="0" fontId="2" fillId="0" borderId="103" xfId="0" applyFont="1" applyBorder="1" applyAlignment="1">
      <alignment wrapText="1"/>
    </xf>
    <xf numFmtId="10" fontId="84" fillId="0" borderId="81" xfId="20962" applyNumberFormat="1" applyFont="1" applyBorder="1"/>
    <xf numFmtId="10" fontId="84" fillId="0" borderId="89" xfId="20962" applyNumberFormat="1" applyFont="1" applyBorder="1"/>
    <xf numFmtId="10" fontId="84" fillId="0" borderId="23" xfId="20962" applyNumberFormat="1" applyFont="1" applyBorder="1"/>
    <xf numFmtId="43" fontId="3" fillId="0" borderId="124" xfId="7" applyFont="1" applyFill="1" applyBorder="1" applyAlignment="1">
      <alignment vertical="center" wrapText="1"/>
    </xf>
    <xf numFmtId="43" fontId="3" fillId="0" borderId="124" xfId="7" applyFont="1" applyBorder="1" applyAlignment="1">
      <alignment vertical="center"/>
    </xf>
    <xf numFmtId="10" fontId="101" fillId="0" borderId="124" xfId="20962" applyNumberFormat="1" applyFont="1" applyFill="1" applyBorder="1" applyAlignment="1">
      <alignment horizontal="left" vertical="center" wrapText="1"/>
    </xf>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93" fontId="139" fillId="0" borderId="31" xfId="0" applyNumberFormat="1" applyFont="1" applyBorder="1" applyAlignment="1">
      <alignment horizontal="center" vertical="center"/>
    </xf>
    <xf numFmtId="193" fontId="140" fillId="0" borderId="11" xfId="0" applyNumberFormat="1" applyFont="1" applyBorder="1" applyAlignment="1">
      <alignment horizontal="center" vertical="center"/>
    </xf>
    <xf numFmtId="193" fontId="139" fillId="0" borderId="11" xfId="0" applyNumberFormat="1" applyFont="1" applyBorder="1" applyAlignment="1">
      <alignment horizontal="center" vertical="center"/>
    </xf>
    <xf numFmtId="193" fontId="136" fillId="0" borderId="11" xfId="0" applyNumberFormat="1" applyFont="1" applyBorder="1" applyAlignment="1">
      <alignment horizontal="center" vertical="center"/>
    </xf>
    <xf numFmtId="193" fontId="141" fillId="0" borderId="11" xfId="0" applyNumberFormat="1" applyFont="1" applyBorder="1" applyAlignment="1">
      <alignment horizontal="center" vertical="center"/>
    </xf>
    <xf numFmtId="193" fontId="140" fillId="0" borderId="12" xfId="0" applyNumberFormat="1" applyFont="1" applyBorder="1" applyAlignment="1">
      <alignment horizontal="center" vertical="center"/>
    </xf>
    <xf numFmtId="193" fontId="139" fillId="0" borderId="13" xfId="0" applyNumberFormat="1" applyFont="1" applyBorder="1" applyAlignment="1">
      <alignment horizontal="center" vertical="center"/>
    </xf>
    <xf numFmtId="193" fontId="139" fillId="0" borderId="14" xfId="0" applyNumberFormat="1" applyFont="1" applyBorder="1" applyAlignment="1">
      <alignment horizontal="center" vertical="center"/>
    </xf>
    <xf numFmtId="193" fontId="139" fillId="0" borderId="12" xfId="0" applyNumberFormat="1" applyFont="1" applyBorder="1" applyAlignment="1">
      <alignment horizontal="center" vertical="center"/>
    </xf>
    <xf numFmtId="193" fontId="136" fillId="0" borderId="12" xfId="0" applyNumberFormat="1" applyFont="1" applyBorder="1" applyAlignment="1">
      <alignment vertical="center"/>
    </xf>
    <xf numFmtId="193" fontId="140" fillId="0" borderId="124" xfId="0" applyNumberFormat="1" applyFont="1" applyBorder="1" applyAlignment="1">
      <alignment horizontal="center" vertical="center"/>
    </xf>
    <xf numFmtId="193" fontId="139" fillId="0" borderId="124" xfId="0" applyNumberFormat="1" applyFont="1" applyBorder="1" applyAlignment="1">
      <alignment horizontal="center" vertical="center"/>
    </xf>
    <xf numFmtId="0" fontId="140" fillId="0" borderId="124" xfId="0" applyFont="1" applyBorder="1" applyAlignment="1">
      <alignment horizontal="center"/>
    </xf>
    <xf numFmtId="0" fontId="140" fillId="0" borderId="124" xfId="0" applyFont="1" applyBorder="1"/>
    <xf numFmtId="0" fontId="139" fillId="0" borderId="124" xfId="0" applyFont="1" applyBorder="1" applyAlignment="1">
      <alignment horizontal="center" vertical="center"/>
    </xf>
    <xf numFmtId="0" fontId="140" fillId="0" borderId="124" xfId="0" applyFont="1" applyBorder="1" applyAlignment="1">
      <alignment horizontal="center" vertical="center"/>
    </xf>
    <xf numFmtId="193" fontId="3" fillId="0" borderId="124" xfId="0" applyNumberFormat="1" applyFont="1" applyBorder="1"/>
    <xf numFmtId="193" fontId="3" fillId="0" borderId="125" xfId="0" applyNumberFormat="1" applyFont="1" applyBorder="1"/>
    <xf numFmtId="164" fontId="3" fillId="0" borderId="124" xfId="7" applyNumberFormat="1" applyFont="1" applyBorder="1" applyAlignment="1">
      <alignment vertical="center"/>
    </xf>
    <xf numFmtId="164" fontId="3" fillId="0" borderId="125" xfId="7" applyNumberFormat="1" applyFont="1" applyBorder="1" applyAlignment="1">
      <alignment vertical="center"/>
    </xf>
    <xf numFmtId="164" fontId="3" fillId="0" borderId="125" xfId="0" applyNumberFormat="1" applyFont="1" applyBorder="1" applyAlignment="1">
      <alignment vertical="center"/>
    </xf>
    <xf numFmtId="164" fontId="3" fillId="0" borderId="81" xfId="0" applyNumberFormat="1" applyFont="1" applyBorder="1" applyAlignment="1">
      <alignment vertical="center"/>
    </xf>
    <xf numFmtId="164" fontId="4" fillId="0" borderId="125" xfId="7" applyNumberFormat="1" applyFont="1" applyFill="1" applyBorder="1" applyAlignment="1">
      <alignment vertical="center"/>
    </xf>
    <xf numFmtId="0" fontId="3" fillId="3" borderId="126" xfId="0" applyFont="1" applyFill="1" applyBorder="1" applyAlignment="1">
      <alignment vertical="center"/>
    </xf>
    <xf numFmtId="0" fontId="3" fillId="0" borderId="124" xfId="0" applyFont="1" applyBorder="1" applyAlignment="1">
      <alignment vertical="center"/>
    </xf>
    <xf numFmtId="0" fontId="3" fillId="0" borderId="125" xfId="0" applyFont="1" applyBorder="1" applyAlignment="1">
      <alignment vertical="center"/>
    </xf>
    <xf numFmtId="164" fontId="4" fillId="0" borderId="22" xfId="0" applyNumberFormat="1" applyFont="1" applyBorder="1" applyAlignment="1">
      <alignment vertical="center"/>
    </xf>
    <xf numFmtId="164" fontId="3" fillId="0" borderId="85" xfId="7" applyNumberFormat="1" applyFont="1" applyBorder="1" applyAlignment="1">
      <alignment vertical="center"/>
    </xf>
    <xf numFmtId="164" fontId="3" fillId="0" borderId="85" xfId="0" applyNumberFormat="1" applyFont="1" applyBorder="1" applyAlignment="1">
      <alignment vertical="center"/>
    </xf>
    <xf numFmtId="164" fontId="3" fillId="0" borderId="64" xfId="0" applyNumberFormat="1" applyFont="1" applyBorder="1" applyAlignment="1">
      <alignment vertical="center"/>
    </xf>
    <xf numFmtId="164" fontId="3" fillId="0" borderId="26" xfId="7" applyNumberFormat="1" applyFont="1" applyFill="1" applyBorder="1" applyAlignment="1">
      <alignment vertical="center"/>
    </xf>
    <xf numFmtId="164" fontId="4" fillId="0" borderId="26" xfId="0" applyNumberFormat="1" applyFont="1" applyBorder="1" applyAlignment="1">
      <alignment vertical="center"/>
    </xf>
    <xf numFmtId="164" fontId="4" fillId="0" borderId="17" xfId="0" applyNumberFormat="1" applyFont="1" applyBorder="1" applyAlignment="1">
      <alignment vertical="center"/>
    </xf>
    <xf numFmtId="164" fontId="3" fillId="0" borderId="103" xfId="7" applyNumberFormat="1" applyFont="1" applyFill="1" applyBorder="1" applyAlignment="1">
      <alignment vertical="center"/>
    </xf>
    <xf numFmtId="9" fontId="3" fillId="0" borderId="92" xfId="20962" applyFont="1" applyFill="1" applyBorder="1" applyAlignment="1">
      <alignment vertical="center"/>
    </xf>
    <xf numFmtId="9" fontId="3" fillId="0" borderId="134" xfId="20962" applyFont="1" applyFill="1" applyBorder="1" applyAlignment="1">
      <alignment vertical="center"/>
    </xf>
    <xf numFmtId="164" fontId="106" fillId="77" borderId="124" xfId="948" applyNumberFormat="1" applyFont="1" applyFill="1" applyBorder="1" applyAlignment="1" applyProtection="1">
      <alignment horizontal="right" vertical="center"/>
    </xf>
    <xf numFmtId="164" fontId="3" fillId="0" borderId="124" xfId="7" applyNumberFormat="1" applyFont="1" applyBorder="1"/>
    <xf numFmtId="164" fontId="3" fillId="0" borderId="124" xfId="7" applyNumberFormat="1" applyFont="1" applyBorder="1" applyAlignment="1"/>
    <xf numFmtId="164" fontId="3" fillId="0" borderId="124" xfId="7" applyNumberFormat="1" applyFont="1" applyBorder="1" applyAlignment="1">
      <alignment horizontal="center"/>
    </xf>
    <xf numFmtId="164" fontId="4" fillId="0" borderId="124" xfId="7" applyNumberFormat="1" applyFont="1" applyFill="1" applyBorder="1"/>
    <xf numFmtId="164" fontId="4" fillId="0" borderId="124" xfId="7" applyNumberFormat="1" applyFont="1" applyFill="1" applyBorder="1" applyAlignment="1">
      <alignment vertical="center"/>
    </xf>
    <xf numFmtId="164" fontId="4" fillId="0" borderId="124" xfId="7" applyNumberFormat="1" applyFont="1" applyBorder="1"/>
    <xf numFmtId="169" fontId="9" fillId="37" borderId="124" xfId="20" applyBorder="1"/>
    <xf numFmtId="164" fontId="117" fillId="0" borderId="124" xfId="7" applyNumberFormat="1" applyFont="1" applyBorder="1"/>
    <xf numFmtId="164" fontId="117" fillId="0" borderId="124" xfId="7" applyNumberFormat="1" applyFont="1" applyFill="1" applyBorder="1"/>
    <xf numFmtId="164" fontId="113" fillId="0" borderId="124" xfId="7" applyNumberFormat="1" applyFont="1" applyBorder="1"/>
    <xf numFmtId="164" fontId="113" fillId="0" borderId="124" xfId="7" applyNumberFormat="1" applyFont="1" applyFill="1" applyBorder="1"/>
    <xf numFmtId="164" fontId="116" fillId="0" borderId="124" xfId="7" applyNumberFormat="1" applyFont="1" applyBorder="1"/>
    <xf numFmtId="43" fontId="113" fillId="0" borderId="124" xfId="7" applyFont="1" applyFill="1" applyBorder="1" applyAlignment="1"/>
    <xf numFmtId="43" fontId="113" fillId="0" borderId="124" xfId="7" applyFont="1" applyFill="1" applyBorder="1"/>
    <xf numFmtId="43" fontId="113" fillId="0" borderId="124" xfId="7" applyFont="1" applyBorder="1" applyAlignment="1"/>
    <xf numFmtId="43" fontId="113" fillId="0" borderId="124" xfId="7" applyFont="1" applyBorder="1"/>
    <xf numFmtId="43" fontId="114" fillId="0" borderId="0" xfId="7" applyFont="1" applyAlignment="1"/>
    <xf numFmtId="164" fontId="113" fillId="0" borderId="124" xfId="7" applyNumberFormat="1" applyFont="1" applyBorder="1" applyAlignment="1"/>
    <xf numFmtId="164" fontId="114" fillId="0" borderId="124" xfId="7" applyNumberFormat="1" applyFont="1" applyBorder="1"/>
    <xf numFmtId="164" fontId="114" fillId="0" borderId="124" xfId="7" applyNumberFormat="1" applyFont="1" applyFill="1" applyBorder="1"/>
    <xf numFmtId="164" fontId="113" fillId="0" borderId="124" xfId="0" applyNumberFormat="1" applyFont="1" applyBorder="1" applyAlignment="1">
      <alignment horizontal="left" indent="1"/>
    </xf>
    <xf numFmtId="194" fontId="113" fillId="0" borderId="124" xfId="7" applyNumberFormat="1" applyFont="1" applyFill="1" applyBorder="1"/>
    <xf numFmtId="164" fontId="116" fillId="0" borderId="124" xfId="0" applyNumberFormat="1" applyFont="1" applyBorder="1" applyAlignment="1">
      <alignment horizontal="left" indent="1"/>
    </xf>
    <xf numFmtId="164" fontId="116" fillId="0" borderId="124" xfId="0" applyNumberFormat="1" applyFont="1" applyBorder="1"/>
    <xf numFmtId="0" fontId="116" fillId="81" borderId="124" xfId="0" applyFont="1" applyFill="1" applyBorder="1"/>
    <xf numFmtId="164" fontId="113" fillId="0" borderId="124" xfId="7" applyNumberFormat="1" applyFont="1" applyBorder="1" applyAlignment="1">
      <alignment horizontal="left" indent="1"/>
    </xf>
    <xf numFmtId="164" fontId="116" fillId="0" borderId="124" xfId="7" applyNumberFormat="1" applyFont="1" applyBorder="1" applyAlignment="1">
      <alignment horizontal="left" indent="1"/>
    </xf>
    <xf numFmtId="164" fontId="116" fillId="0" borderId="67" xfId="0" applyNumberFormat="1" applyFont="1" applyBorder="1"/>
    <xf numFmtId="164" fontId="113" fillId="0" borderId="81" xfId="7" applyNumberFormat="1" applyFont="1" applyBorder="1"/>
    <xf numFmtId="164" fontId="113" fillId="0" borderId="18" xfId="7" applyNumberFormat="1" applyFont="1" applyBorder="1" applyAlignment="1">
      <alignment horizontal="left" indent="1"/>
    </xf>
    <xf numFmtId="164" fontId="116" fillId="0" borderId="18" xfId="7" applyNumberFormat="1" applyFont="1" applyBorder="1" applyAlignment="1">
      <alignment horizontal="left" indent="2"/>
    </xf>
    <xf numFmtId="164" fontId="0" fillId="0" borderId="0" xfId="7" applyNumberFormat="1" applyFont="1"/>
    <xf numFmtId="164" fontId="113" fillId="0" borderId="124" xfId="0" applyNumberFormat="1" applyFont="1" applyBorder="1"/>
    <xf numFmtId="164" fontId="113" fillId="0" borderId="125" xfId="0" applyNumberFormat="1" applyFont="1" applyBorder="1"/>
    <xf numFmtId="164" fontId="95" fillId="0" borderId="124" xfId="7" applyNumberFormat="1" applyFont="1" applyBorder="1"/>
    <xf numFmtId="164" fontId="113" fillId="0" borderId="124" xfId="0" applyNumberFormat="1" applyFont="1" applyBorder="1" applyAlignment="1">
      <alignment horizontal="left" vertical="center" wrapText="1"/>
    </xf>
    <xf numFmtId="164" fontId="113" fillId="0" borderId="124" xfId="7" applyNumberFormat="1" applyFont="1" applyBorder="1" applyAlignment="1">
      <alignment horizontal="center" vertical="center" textRotation="90" wrapText="1"/>
    </xf>
    <xf numFmtId="164" fontId="113" fillId="0" borderId="124" xfId="7" applyNumberFormat="1" applyFont="1" applyBorder="1" applyAlignment="1">
      <alignment horizontal="center" vertical="center" wrapText="1"/>
    </xf>
    <xf numFmtId="164" fontId="113" fillId="0" borderId="124" xfId="7" applyNumberFormat="1" applyFont="1" applyBorder="1" applyAlignment="1">
      <alignment horizontal="center" vertical="center"/>
    </xf>
    <xf numFmtId="164" fontId="116" fillId="0" borderId="124" xfId="0" applyNumberFormat="1" applyFont="1" applyBorder="1" applyAlignment="1">
      <alignment horizontal="left" vertical="center" wrapText="1"/>
    </xf>
    <xf numFmtId="195" fontId="95" fillId="0" borderId="124" xfId="7" applyNumberFormat="1" applyFont="1" applyBorder="1"/>
    <xf numFmtId="195" fontId="103" fillId="0" borderId="124" xfId="7" applyNumberFormat="1" applyFont="1" applyBorder="1"/>
    <xf numFmtId="164" fontId="103" fillId="0" borderId="124" xfId="7" applyNumberFormat="1" applyFont="1" applyBorder="1"/>
    <xf numFmtId="164" fontId="118" fillId="0" borderId="124" xfId="0" applyNumberFormat="1" applyFont="1" applyBorder="1"/>
    <xf numFmtId="164" fontId="118" fillId="0" borderId="124" xfId="7" applyNumberFormat="1" applyFont="1" applyBorder="1"/>
    <xf numFmtId="10" fontId="118" fillId="0" borderId="124" xfId="20962" applyNumberFormat="1" applyFont="1" applyBorder="1"/>
    <xf numFmtId="164" fontId="118" fillId="0" borderId="124" xfId="7" applyNumberFormat="1" applyFont="1" applyFill="1" applyBorder="1"/>
    <xf numFmtId="164" fontId="142" fillId="0" borderId="124" xfId="7" applyNumberFormat="1" applyFont="1" applyBorder="1"/>
    <xf numFmtId="164" fontId="142" fillId="0" borderId="124" xfId="7" applyNumberFormat="1" applyFont="1" applyFill="1" applyBorder="1"/>
    <xf numFmtId="10" fontId="142" fillId="0" borderId="124" xfId="20962" applyNumberFormat="1" applyFont="1" applyBorder="1"/>
    <xf numFmtId="164" fontId="118" fillId="0" borderId="128" xfId="7" applyNumberFormat="1" applyFont="1" applyBorder="1"/>
    <xf numFmtId="164" fontId="118" fillId="0" borderId="128" xfId="7" applyNumberFormat="1" applyFont="1" applyFill="1" applyBorder="1"/>
    <xf numFmtId="10" fontId="118" fillId="0" borderId="128" xfId="20962" applyNumberFormat="1" applyFont="1" applyBorder="1"/>
    <xf numFmtId="43" fontId="142" fillId="0" borderId="124" xfId="7" applyFont="1" applyBorder="1"/>
    <xf numFmtId="43" fontId="118" fillId="0" borderId="124" xfId="7" applyFont="1" applyBorder="1"/>
    <xf numFmtId="193" fontId="123" fillId="0" borderId="124" xfId="0" applyNumberFormat="1" applyFont="1" applyBorder="1" applyAlignment="1">
      <alignment horizontal="right"/>
    </xf>
    <xf numFmtId="43" fontId="4" fillId="0" borderId="124" xfId="7" applyFont="1" applyFill="1" applyBorder="1" applyAlignment="1">
      <alignment vertical="center" wrapText="1"/>
    </xf>
    <xf numFmtId="43" fontId="4" fillId="0" borderId="124" xfId="7" applyFont="1" applyBorder="1" applyAlignment="1">
      <alignment vertical="center"/>
    </xf>
    <xf numFmtId="164" fontId="4" fillId="0" borderId="96" xfId="7" applyNumberFormat="1" applyFont="1" applyBorder="1"/>
    <xf numFmtId="164" fontId="4" fillId="0" borderId="96" xfId="7" applyNumberFormat="1" applyFont="1" applyBorder="1" applyAlignment="1">
      <alignment vertical="center"/>
    </xf>
    <xf numFmtId="10" fontId="106" fillId="0" borderId="96" xfId="20962" applyNumberFormat="1" applyFont="1" applyFill="1" applyBorder="1" applyAlignment="1" applyProtection="1">
      <alignment horizontal="right" vertical="center"/>
      <protection locked="0"/>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2" xfId="0" applyFont="1" applyBorder="1" applyAlignment="1">
      <alignment horizontal="center" vertical="center"/>
    </xf>
    <xf numFmtId="0" fontId="94" fillId="0" borderId="30" xfId="0" applyFont="1" applyBorder="1" applyAlignment="1">
      <alignment horizontal="center" vertical="center"/>
    </xf>
    <xf numFmtId="0" fontId="94" fillId="0" borderId="133" xfId="0" applyFont="1" applyBorder="1" applyAlignment="1">
      <alignment horizontal="center" vertical="center"/>
    </xf>
    <xf numFmtId="0" fontId="135" fillId="0" borderId="132" xfId="0" applyFont="1" applyBorder="1" applyAlignment="1">
      <alignment horizontal="center"/>
    </xf>
    <xf numFmtId="0" fontId="135" fillId="0" borderId="30" xfId="0" applyFont="1" applyBorder="1" applyAlignment="1">
      <alignment horizontal="center"/>
    </xf>
    <xf numFmtId="0" fontId="135" fillId="0" borderId="133" xfId="0" applyFont="1"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11" xfId="0" applyBorder="1" applyAlignment="1">
      <alignment horizontal="center" vertical="center"/>
    </xf>
    <xf numFmtId="0" fontId="122" fillId="0" borderId="112"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3" xfId="0" applyBorder="1" applyAlignment="1">
      <alignment horizontal="center"/>
    </xf>
    <xf numFmtId="0" fontId="0" fillId="0" borderId="114" xfId="0" applyBorder="1" applyAlignment="1">
      <alignment horizontal="center"/>
    </xf>
    <xf numFmtId="0" fontId="0" fillId="0" borderId="115" xfId="0"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28"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4" xfId="0" applyBorder="1" applyAlignment="1">
      <alignment horizontal="center" vertical="center"/>
    </xf>
    <xf numFmtId="0" fontId="0" fillId="0" borderId="124"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1" xfId="0" applyFont="1" applyBorder="1" applyAlignment="1">
      <alignment horizontal="left" vertical="center" wrapText="1"/>
    </xf>
    <xf numFmtId="0" fontId="116" fillId="0" borderId="102" xfId="0" applyFont="1" applyBorder="1" applyAlignment="1">
      <alignment horizontal="left" vertical="center" wrapText="1"/>
    </xf>
    <xf numFmtId="0" fontId="116" fillId="0" borderId="106" xfId="0" applyFont="1" applyBorder="1" applyAlignment="1">
      <alignment horizontal="left" vertical="center" wrapText="1"/>
    </xf>
    <xf numFmtId="0" fontId="116" fillId="0" borderId="107"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7" fillId="0" borderId="103" xfId="0" applyFont="1" applyBorder="1" applyAlignment="1">
      <alignment horizontal="center" vertical="center" wrapText="1"/>
    </xf>
    <xf numFmtId="0" fontId="117" fillId="0" borderId="104" xfId="0" applyFont="1" applyBorder="1" applyAlignment="1">
      <alignment horizontal="center" vertical="center" wrapText="1"/>
    </xf>
    <xf numFmtId="0" fontId="117" fillId="0" borderId="105"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4" xfId="0" applyFont="1" applyBorder="1" applyAlignment="1">
      <alignment horizontal="center" vertical="center" wrapText="1"/>
    </xf>
    <xf numFmtId="0" fontId="121" fillId="0" borderId="124" xfId="0" applyFont="1" applyBorder="1" applyAlignment="1">
      <alignment horizontal="center" vertical="center"/>
    </xf>
    <xf numFmtId="0" fontId="121" fillId="0" borderId="103" xfId="0" applyFont="1" applyBorder="1" applyAlignment="1">
      <alignment horizontal="center" vertical="center"/>
    </xf>
    <xf numFmtId="0" fontId="121" fillId="0" borderId="105"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4" xfId="0" applyFont="1" applyBorder="1" applyAlignment="1">
      <alignment horizontal="center" vertical="center" wrapText="1"/>
    </xf>
    <xf numFmtId="0" fontId="113" fillId="0" borderId="127" xfId="0" applyFont="1" applyBorder="1" applyAlignment="1">
      <alignment horizontal="center" vertical="center" wrapText="1"/>
    </xf>
    <xf numFmtId="0" fontId="116" fillId="0" borderId="103"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5" xfId="0" applyFont="1" applyBorder="1" applyAlignment="1">
      <alignment horizontal="center" vertical="center" wrapText="1"/>
    </xf>
    <xf numFmtId="0" fontId="113" fillId="0" borderId="126"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3" xfId="0" applyFont="1" applyBorder="1" applyAlignment="1">
      <alignment horizontal="left" vertical="top" wrapText="1"/>
    </xf>
    <xf numFmtId="0" fontId="116" fillId="0" borderId="100" xfId="0" applyFont="1" applyBorder="1" applyAlignment="1">
      <alignment horizontal="left" vertical="top" wrapText="1"/>
    </xf>
    <xf numFmtId="0" fontId="116" fillId="0" borderId="131" xfId="0" applyFont="1" applyBorder="1" applyAlignment="1">
      <alignment horizontal="left" vertical="top" wrapText="1"/>
    </xf>
    <xf numFmtId="0" fontId="116" fillId="0" borderId="86"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3" xfId="0" applyFont="1" applyBorder="1" applyAlignment="1">
      <alignment horizontal="center" vertical="top" wrapText="1"/>
    </xf>
    <xf numFmtId="0" fontId="113" fillId="0" borderId="104" xfId="0" applyFont="1" applyBorder="1" applyAlignment="1">
      <alignment horizontal="center" vertical="top" wrapText="1"/>
    </xf>
    <xf numFmtId="0" fontId="113" fillId="0" borderId="126" xfId="0" applyFont="1" applyBorder="1" applyAlignment="1">
      <alignment horizontal="center" vertical="top" wrapText="1"/>
    </xf>
    <xf numFmtId="0" fontId="113" fillId="0" borderId="127" xfId="0" applyFont="1" applyBorder="1" applyAlignment="1">
      <alignment horizontal="center" vertical="top" wrapText="1"/>
    </xf>
    <xf numFmtId="0" fontId="133" fillId="0" borderId="116" xfId="0" applyFont="1" applyBorder="1" applyAlignment="1">
      <alignment horizontal="left" vertical="top" wrapText="1"/>
    </xf>
    <xf numFmtId="0" fontId="133" fillId="0" borderId="117" xfId="0" applyFont="1" applyBorder="1" applyAlignment="1">
      <alignment horizontal="left" vertical="top" wrapText="1"/>
    </xf>
    <xf numFmtId="0" fontId="119" fillId="0" borderId="103" xfId="0" applyFont="1" applyBorder="1" applyAlignment="1">
      <alignment horizontal="center" vertical="center"/>
    </xf>
    <xf numFmtId="0" fontId="119" fillId="0" borderId="105"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4" xfId="0" applyFont="1" applyBorder="1" applyAlignment="1">
      <alignment horizontal="center" vertical="center" wrapText="1"/>
    </xf>
    <xf numFmtId="0" fontId="118" fillId="0" borderId="128"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6"/>
      <c r="B1" s="142" t="s">
        <v>223</v>
      </c>
      <c r="C1" s="106"/>
    </row>
    <row r="2" spans="1:3">
      <c r="A2" s="143">
        <v>1</v>
      </c>
      <c r="B2" s="257" t="s">
        <v>224</v>
      </c>
      <c r="C2" s="42" t="s">
        <v>711</v>
      </c>
    </row>
    <row r="3" spans="1:3" ht="15">
      <c r="A3" s="143">
        <v>2</v>
      </c>
      <c r="B3" s="258" t="s">
        <v>220</v>
      </c>
      <c r="C3" s="542" t="s">
        <v>713</v>
      </c>
    </row>
    <row r="4" spans="1:3">
      <c r="A4" s="143">
        <v>3</v>
      </c>
      <c r="B4" s="259" t="s">
        <v>225</v>
      </c>
      <c r="C4" s="42" t="s">
        <v>714</v>
      </c>
    </row>
    <row r="5" spans="1:3">
      <c r="A5" s="144">
        <v>4</v>
      </c>
      <c r="B5" s="260" t="s">
        <v>221</v>
      </c>
      <c r="C5" s="543" t="s">
        <v>715</v>
      </c>
    </row>
    <row r="6" spans="1:3" s="145" customFormat="1" ht="45.75" customHeight="1">
      <c r="A6" s="702" t="s">
        <v>297</v>
      </c>
      <c r="B6" s="703"/>
      <c r="C6" s="703"/>
    </row>
    <row r="7" spans="1:3">
      <c r="A7" s="146" t="s">
        <v>30</v>
      </c>
      <c r="B7" s="142" t="s">
        <v>222</v>
      </c>
    </row>
    <row r="8" spans="1:3">
      <c r="A8" s="106">
        <v>1</v>
      </c>
      <c r="B8" s="177" t="s">
        <v>21</v>
      </c>
    </row>
    <row r="9" spans="1:3">
      <c r="A9" s="106">
        <v>2</v>
      </c>
      <c r="B9" s="178" t="s">
        <v>22</v>
      </c>
    </row>
    <row r="10" spans="1:3">
      <c r="A10" s="106">
        <v>3</v>
      </c>
      <c r="B10" s="178" t="s">
        <v>23</v>
      </c>
    </row>
    <row r="11" spans="1:3">
      <c r="A11" s="106">
        <v>4</v>
      </c>
      <c r="B11" s="178" t="s">
        <v>24</v>
      </c>
    </row>
    <row r="12" spans="1:3">
      <c r="A12" s="106">
        <v>5</v>
      </c>
      <c r="B12" s="178" t="s">
        <v>25</v>
      </c>
    </row>
    <row r="13" spans="1:3">
      <c r="A13" s="106">
        <v>6</v>
      </c>
      <c r="B13" s="179" t="s">
        <v>232</v>
      </c>
    </row>
    <row r="14" spans="1:3">
      <c r="A14" s="106">
        <v>7</v>
      </c>
      <c r="B14" s="178" t="s">
        <v>226</v>
      </c>
    </row>
    <row r="15" spans="1:3">
      <c r="A15" s="106">
        <v>8</v>
      </c>
      <c r="B15" s="178" t="s">
        <v>227</v>
      </c>
    </row>
    <row r="16" spans="1:3">
      <c r="A16" s="106">
        <v>9</v>
      </c>
      <c r="B16" s="178" t="s">
        <v>26</v>
      </c>
    </row>
    <row r="17" spans="1:2">
      <c r="A17" s="256" t="s">
        <v>296</v>
      </c>
      <c r="B17" s="255" t="s">
        <v>283</v>
      </c>
    </row>
    <row r="18" spans="1:2">
      <c r="A18" s="106">
        <v>10</v>
      </c>
      <c r="B18" s="178" t="s">
        <v>27</v>
      </c>
    </row>
    <row r="19" spans="1:2">
      <c r="A19" s="106">
        <v>11</v>
      </c>
      <c r="B19" s="179" t="s">
        <v>228</v>
      </c>
    </row>
    <row r="20" spans="1:2">
      <c r="A20" s="106">
        <v>12</v>
      </c>
      <c r="B20" s="179" t="s">
        <v>28</v>
      </c>
    </row>
    <row r="21" spans="1:2">
      <c r="A21" s="307">
        <v>13</v>
      </c>
      <c r="B21" s="308" t="s">
        <v>229</v>
      </c>
    </row>
    <row r="22" spans="1:2">
      <c r="A22" s="307">
        <v>14</v>
      </c>
      <c r="B22" s="309" t="s">
        <v>254</v>
      </c>
    </row>
    <row r="23" spans="1:2">
      <c r="A23" s="307">
        <v>15</v>
      </c>
      <c r="B23" s="310" t="s">
        <v>29</v>
      </c>
    </row>
    <row r="24" spans="1:2">
      <c r="A24" s="307">
        <v>15.1</v>
      </c>
      <c r="B24" s="311" t="s">
        <v>310</v>
      </c>
    </row>
    <row r="25" spans="1:2">
      <c r="A25" s="307">
        <v>16</v>
      </c>
      <c r="B25" s="311" t="s">
        <v>374</v>
      </c>
    </row>
    <row r="26" spans="1:2">
      <c r="A26" s="307">
        <v>17</v>
      </c>
      <c r="B26" s="311" t="s">
        <v>415</v>
      </c>
    </row>
    <row r="27" spans="1:2">
      <c r="A27" s="307">
        <v>18</v>
      </c>
      <c r="B27" s="311" t="s">
        <v>704</v>
      </c>
    </row>
    <row r="28" spans="1:2">
      <c r="A28" s="307">
        <v>19</v>
      </c>
      <c r="B28" s="311" t="s">
        <v>705</v>
      </c>
    </row>
    <row r="29" spans="1:2">
      <c r="A29" s="307">
        <v>20</v>
      </c>
      <c r="B29" s="373" t="s">
        <v>706</v>
      </c>
    </row>
    <row r="30" spans="1:2">
      <c r="A30" s="307">
        <v>21</v>
      </c>
      <c r="B30" s="311" t="s">
        <v>531</v>
      </c>
    </row>
    <row r="31" spans="1:2">
      <c r="A31" s="307">
        <v>22</v>
      </c>
      <c r="B31" s="311" t="s">
        <v>707</v>
      </c>
    </row>
    <row r="32" spans="1:2">
      <c r="A32" s="307">
        <v>23</v>
      </c>
      <c r="B32" s="311" t="s">
        <v>708</v>
      </c>
    </row>
    <row r="33" spans="1:2">
      <c r="A33" s="307">
        <v>24</v>
      </c>
      <c r="B33" s="311" t="s">
        <v>709</v>
      </c>
    </row>
    <row r="34" spans="1:2">
      <c r="A34" s="307">
        <v>25</v>
      </c>
      <c r="B34" s="311" t="s">
        <v>416</v>
      </c>
    </row>
    <row r="35" spans="1:2">
      <c r="A35" s="307">
        <v>26</v>
      </c>
      <c r="B35" s="311" t="s">
        <v>553</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996F7535-F349-4A1D-80C6-504AA75E7DDE}"/>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45" sqref="C45"/>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31</v>
      </c>
      <c r="B1" s="3" t="str">
        <f>'Info '!C2</f>
        <v>JSC "CREDOBANK"</v>
      </c>
    </row>
    <row r="2" spans="1:3" s="2" customFormat="1" ht="15.75" customHeight="1">
      <c r="A2" s="2" t="s">
        <v>32</v>
      </c>
      <c r="B2" s="325">
        <f>'1. key ratios '!B2</f>
        <v>45107</v>
      </c>
    </row>
    <row r="3" spans="1:3" s="2" customFormat="1" ht="15.75" customHeight="1"/>
    <row r="4" spans="1:3" ht="13.8" thickBot="1">
      <c r="A4" s="4" t="s">
        <v>144</v>
      </c>
      <c r="B4" s="88" t="s">
        <v>143</v>
      </c>
    </row>
    <row r="5" spans="1:3">
      <c r="A5" s="47" t="s">
        <v>7</v>
      </c>
      <c r="B5" s="48"/>
      <c r="C5" s="49" t="s">
        <v>36</v>
      </c>
    </row>
    <row r="6" spans="1:3">
      <c r="A6" s="50">
        <v>1</v>
      </c>
      <c r="B6" s="51" t="s">
        <v>142</v>
      </c>
      <c r="C6" s="52">
        <f>SUM(C7:C11)</f>
        <v>279525955.51999992</v>
      </c>
    </row>
    <row r="7" spans="1:3">
      <c r="A7" s="50">
        <v>2</v>
      </c>
      <c r="B7" s="53" t="s">
        <v>141</v>
      </c>
      <c r="C7" s="54">
        <v>5207180</v>
      </c>
    </row>
    <row r="8" spans="1:3">
      <c r="A8" s="50">
        <v>3</v>
      </c>
      <c r="B8" s="55" t="s">
        <v>140</v>
      </c>
      <c r="C8" s="54">
        <v>36929894.049999997</v>
      </c>
    </row>
    <row r="9" spans="1:3">
      <c r="A9" s="50">
        <v>4</v>
      </c>
      <c r="B9" s="55" t="s">
        <v>139</v>
      </c>
      <c r="C9" s="54"/>
    </row>
    <row r="10" spans="1:3">
      <c r="A10" s="50">
        <v>5</v>
      </c>
      <c r="B10" s="55" t="s">
        <v>138</v>
      </c>
      <c r="C10" s="54"/>
    </row>
    <row r="11" spans="1:3">
      <c r="A11" s="50">
        <v>6</v>
      </c>
      <c r="B11" s="56" t="s">
        <v>137</v>
      </c>
      <c r="C11" s="54">
        <v>237388881.46999991</v>
      </c>
    </row>
    <row r="12" spans="1:3" s="26" customFormat="1">
      <c r="A12" s="50">
        <v>7</v>
      </c>
      <c r="B12" s="51" t="s">
        <v>136</v>
      </c>
      <c r="C12" s="57">
        <f>SUM(C13:C28)</f>
        <v>18857962.90000001</v>
      </c>
    </row>
    <row r="13" spans="1:3" s="26" customFormat="1">
      <c r="A13" s="50">
        <v>8</v>
      </c>
      <c r="B13" s="58" t="s">
        <v>135</v>
      </c>
      <c r="C13" s="59"/>
    </row>
    <row r="14" spans="1:3" s="26" customFormat="1" ht="26.4">
      <c r="A14" s="50">
        <v>9</v>
      </c>
      <c r="B14" s="60" t="s">
        <v>134</v>
      </c>
      <c r="C14" s="59"/>
    </row>
    <row r="15" spans="1:3" s="26" customFormat="1">
      <c r="A15" s="50">
        <v>10</v>
      </c>
      <c r="B15" s="61" t="s">
        <v>133</v>
      </c>
      <c r="C15" s="59">
        <v>18857962.90000001</v>
      </c>
    </row>
    <row r="16" spans="1:3" s="26" customFormat="1">
      <c r="A16" s="50">
        <v>11</v>
      </c>
      <c r="B16" s="62" t="s">
        <v>132</v>
      </c>
      <c r="C16" s="59"/>
    </row>
    <row r="17" spans="1:3" s="26" customFormat="1">
      <c r="A17" s="50">
        <v>12</v>
      </c>
      <c r="B17" s="61" t="s">
        <v>131</v>
      </c>
      <c r="C17" s="59"/>
    </row>
    <row r="18" spans="1:3" s="26" customFormat="1">
      <c r="A18" s="50">
        <v>13</v>
      </c>
      <c r="B18" s="61" t="s">
        <v>130</v>
      </c>
      <c r="C18" s="59"/>
    </row>
    <row r="19" spans="1:3" s="26" customFormat="1">
      <c r="A19" s="50">
        <v>14</v>
      </c>
      <c r="B19" s="61" t="s">
        <v>129</v>
      </c>
      <c r="C19" s="59"/>
    </row>
    <row r="20" spans="1:3" s="26" customFormat="1">
      <c r="A20" s="50">
        <v>15</v>
      </c>
      <c r="B20" s="61" t="s">
        <v>128</v>
      </c>
      <c r="C20" s="59"/>
    </row>
    <row r="21" spans="1:3" s="26" customFormat="1" ht="26.4">
      <c r="A21" s="50">
        <v>16</v>
      </c>
      <c r="B21" s="60" t="s">
        <v>127</v>
      </c>
      <c r="C21" s="59"/>
    </row>
    <row r="22" spans="1:3" s="26" customFormat="1">
      <c r="A22" s="50">
        <v>17</v>
      </c>
      <c r="B22" s="63" t="s">
        <v>126</v>
      </c>
      <c r="C22" s="59"/>
    </row>
    <row r="23" spans="1:3" s="26" customFormat="1">
      <c r="A23" s="50">
        <v>18</v>
      </c>
      <c r="B23" s="63" t="s">
        <v>554</v>
      </c>
      <c r="C23" s="375"/>
    </row>
    <row r="24" spans="1:3" s="26" customFormat="1">
      <c r="A24" s="50">
        <v>19</v>
      </c>
      <c r="B24" s="60" t="s">
        <v>125</v>
      </c>
      <c r="C24" s="59"/>
    </row>
    <row r="25" spans="1:3" s="26" customFormat="1" ht="26.4">
      <c r="A25" s="50">
        <v>20</v>
      </c>
      <c r="B25" s="60" t="s">
        <v>102</v>
      </c>
      <c r="C25" s="59"/>
    </row>
    <row r="26" spans="1:3" s="26" customFormat="1">
      <c r="A26" s="50">
        <v>21</v>
      </c>
      <c r="B26" s="62" t="s">
        <v>124</v>
      </c>
      <c r="C26" s="59"/>
    </row>
    <row r="27" spans="1:3" s="26" customFormat="1">
      <c r="A27" s="50">
        <v>22</v>
      </c>
      <c r="B27" s="62" t="s">
        <v>123</v>
      </c>
      <c r="C27" s="59"/>
    </row>
    <row r="28" spans="1:3" s="26" customFormat="1">
      <c r="A28" s="50">
        <v>23</v>
      </c>
      <c r="B28" s="62" t="s">
        <v>122</v>
      </c>
      <c r="C28" s="59"/>
    </row>
    <row r="29" spans="1:3" s="26" customFormat="1">
      <c r="A29" s="50">
        <v>24</v>
      </c>
      <c r="B29" s="64" t="s">
        <v>121</v>
      </c>
      <c r="C29" s="57">
        <f>C6-C12</f>
        <v>260667992.61999992</v>
      </c>
    </row>
    <row r="30" spans="1:3" s="26" customFormat="1">
      <c r="A30" s="65"/>
      <c r="B30" s="66"/>
      <c r="C30" s="59"/>
    </row>
    <row r="31" spans="1:3" s="26" customFormat="1">
      <c r="A31" s="65">
        <v>25</v>
      </c>
      <c r="B31" s="64" t="s">
        <v>120</v>
      </c>
      <c r="C31" s="57">
        <f>C32+C35</f>
        <v>0</v>
      </c>
    </row>
    <row r="32" spans="1:3" s="26" customFormat="1">
      <c r="A32" s="65">
        <v>26</v>
      </c>
      <c r="B32" s="55" t="s">
        <v>119</v>
      </c>
      <c r="C32" s="67">
        <f>C33+C34</f>
        <v>0</v>
      </c>
    </row>
    <row r="33" spans="1:3" s="26" customFormat="1">
      <c r="A33" s="65">
        <v>27</v>
      </c>
      <c r="B33" s="68" t="s">
        <v>193</v>
      </c>
      <c r="C33" s="59"/>
    </row>
    <row r="34" spans="1:3" s="26" customFormat="1">
      <c r="A34" s="65">
        <v>28</v>
      </c>
      <c r="B34" s="68" t="s">
        <v>118</v>
      </c>
      <c r="C34" s="59"/>
    </row>
    <row r="35" spans="1:3" s="26" customFormat="1">
      <c r="A35" s="65">
        <v>29</v>
      </c>
      <c r="B35" s="55" t="s">
        <v>117</v>
      </c>
      <c r="C35" s="59"/>
    </row>
    <row r="36" spans="1:3" s="26" customFormat="1">
      <c r="A36" s="65">
        <v>30</v>
      </c>
      <c r="B36" s="64" t="s">
        <v>116</v>
      </c>
      <c r="C36" s="57">
        <f>SUM(C37:C41)</f>
        <v>0</v>
      </c>
    </row>
    <row r="37" spans="1:3" s="26" customFormat="1">
      <c r="A37" s="65">
        <v>31</v>
      </c>
      <c r="B37" s="60" t="s">
        <v>115</v>
      </c>
      <c r="C37" s="59"/>
    </row>
    <row r="38" spans="1:3" s="26" customFormat="1">
      <c r="A38" s="65">
        <v>32</v>
      </c>
      <c r="B38" s="61" t="s">
        <v>114</v>
      </c>
      <c r="C38" s="59"/>
    </row>
    <row r="39" spans="1:3" s="26" customFormat="1">
      <c r="A39" s="65">
        <v>33</v>
      </c>
      <c r="B39" s="60" t="s">
        <v>113</v>
      </c>
      <c r="C39" s="59"/>
    </row>
    <row r="40" spans="1:3" s="26" customFormat="1" ht="26.4">
      <c r="A40" s="65">
        <v>34</v>
      </c>
      <c r="B40" s="60" t="s">
        <v>102</v>
      </c>
      <c r="C40" s="59"/>
    </row>
    <row r="41" spans="1:3" s="26" customFormat="1">
      <c r="A41" s="65">
        <v>35</v>
      </c>
      <c r="B41" s="62" t="s">
        <v>112</v>
      </c>
      <c r="C41" s="59"/>
    </row>
    <row r="42" spans="1:3" s="26" customFormat="1">
      <c r="A42" s="65">
        <v>36</v>
      </c>
      <c r="B42" s="64" t="s">
        <v>111</v>
      </c>
      <c r="C42" s="57">
        <f>C31-C36</f>
        <v>0</v>
      </c>
    </row>
    <row r="43" spans="1:3" s="26" customFormat="1">
      <c r="A43" s="65"/>
      <c r="B43" s="66"/>
      <c r="C43" s="59"/>
    </row>
    <row r="44" spans="1:3" s="26" customFormat="1">
      <c r="A44" s="65">
        <v>37</v>
      </c>
      <c r="B44" s="69" t="s">
        <v>110</v>
      </c>
      <c r="C44" s="57">
        <f>SUM(C45:C47)</f>
        <v>78702418</v>
      </c>
    </row>
    <row r="45" spans="1:3" s="26" customFormat="1">
      <c r="A45" s="65">
        <v>38</v>
      </c>
      <c r="B45" s="55" t="s">
        <v>109</v>
      </c>
      <c r="C45" s="59">
        <v>78702418</v>
      </c>
    </row>
    <row r="46" spans="1:3" s="26" customFormat="1">
      <c r="A46" s="65">
        <v>39</v>
      </c>
      <c r="B46" s="55" t="s">
        <v>108</v>
      </c>
      <c r="C46" s="59"/>
    </row>
    <row r="47" spans="1:3" s="26" customFormat="1">
      <c r="A47" s="65">
        <v>40</v>
      </c>
      <c r="B47" s="55" t="s">
        <v>107</v>
      </c>
      <c r="C47" s="59"/>
    </row>
    <row r="48" spans="1:3" s="26" customFormat="1">
      <c r="A48" s="65">
        <v>41</v>
      </c>
      <c r="B48" s="69" t="s">
        <v>106</v>
      </c>
      <c r="C48" s="57">
        <f>SUM(C49:C52)</f>
        <v>0</v>
      </c>
    </row>
    <row r="49" spans="1:3" s="26" customFormat="1">
      <c r="A49" s="65">
        <v>42</v>
      </c>
      <c r="B49" s="60" t="s">
        <v>105</v>
      </c>
      <c r="C49" s="59"/>
    </row>
    <row r="50" spans="1:3" s="26" customFormat="1">
      <c r="A50" s="65">
        <v>43</v>
      </c>
      <c r="B50" s="61" t="s">
        <v>104</v>
      </c>
      <c r="C50" s="59"/>
    </row>
    <row r="51" spans="1:3" s="26" customFormat="1">
      <c r="A51" s="65">
        <v>44</v>
      </c>
      <c r="B51" s="60" t="s">
        <v>103</v>
      </c>
      <c r="C51" s="59"/>
    </row>
    <row r="52" spans="1:3" s="26" customFormat="1" ht="26.4">
      <c r="A52" s="65">
        <v>45</v>
      </c>
      <c r="B52" s="60" t="s">
        <v>102</v>
      </c>
      <c r="C52" s="59"/>
    </row>
    <row r="53" spans="1:3" s="26" customFormat="1" ht="13.8" thickBot="1">
      <c r="A53" s="65">
        <v>46</v>
      </c>
      <c r="B53" s="70" t="s">
        <v>101</v>
      </c>
      <c r="C53" s="71">
        <f>C44-C48</f>
        <v>78702418</v>
      </c>
    </row>
    <row r="56" spans="1:3">
      <c r="B56" s="4" t="s">
        <v>8</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21875" defaultRowHeight="13.8"/>
  <cols>
    <col min="1" max="1" width="9.44140625" style="169" bestFit="1" customWidth="1"/>
    <col min="2" max="2" width="59" style="169" customWidth="1"/>
    <col min="3" max="3" width="16.77734375" style="169" bestFit="1" customWidth="1"/>
    <col min="4" max="4" width="14.33203125" style="169" bestFit="1" customWidth="1"/>
    <col min="5" max="16384" width="9.21875" style="169"/>
  </cols>
  <sheetData>
    <row r="1" spans="1:4">
      <c r="A1" s="167" t="s">
        <v>31</v>
      </c>
      <c r="B1" s="3" t="str">
        <f>'Info '!C2</f>
        <v>JSC "CREDOBANK"</v>
      </c>
    </row>
    <row r="2" spans="1:4" s="167" customFormat="1" ht="15.75" customHeight="1">
      <c r="A2" s="167" t="s">
        <v>32</v>
      </c>
      <c r="B2" s="325">
        <f>'1. key ratios '!B2</f>
        <v>45107</v>
      </c>
    </row>
    <row r="3" spans="1:4" s="167" customFormat="1" ht="15.75" customHeight="1"/>
    <row r="4" spans="1:4" ht="14.4" thickBot="1">
      <c r="A4" s="169" t="s">
        <v>282</v>
      </c>
      <c r="B4" s="245" t="s">
        <v>283</v>
      </c>
    </row>
    <row r="5" spans="1:4" s="174" customFormat="1" ht="12.75" customHeight="1">
      <c r="A5" s="305"/>
      <c r="B5" s="306" t="s">
        <v>286</v>
      </c>
      <c r="C5" s="238" t="s">
        <v>284</v>
      </c>
      <c r="D5" s="239" t="s">
        <v>285</v>
      </c>
    </row>
    <row r="6" spans="1:4" s="246" customFormat="1">
      <c r="A6" s="240">
        <v>1</v>
      </c>
      <c r="B6" s="301" t="s">
        <v>287</v>
      </c>
      <c r="C6" s="301"/>
      <c r="D6" s="241"/>
    </row>
    <row r="7" spans="1:4" s="246" customFormat="1">
      <c r="A7" s="242" t="s">
        <v>273</v>
      </c>
      <c r="B7" s="302" t="s">
        <v>288</v>
      </c>
      <c r="C7" s="294">
        <v>4.4999999999999998E-2</v>
      </c>
      <c r="D7" s="600">
        <f>C7*'5. RWA '!$C$13</f>
        <v>87755253.669905216</v>
      </c>
    </row>
    <row r="8" spans="1:4" s="246" customFormat="1">
      <c r="A8" s="242" t="s">
        <v>274</v>
      </c>
      <c r="B8" s="302" t="s">
        <v>289</v>
      </c>
      <c r="C8" s="295">
        <v>0.06</v>
      </c>
      <c r="D8" s="600">
        <f>C8*'5. RWA '!$C$13</f>
        <v>117007004.89320695</v>
      </c>
    </row>
    <row r="9" spans="1:4" s="246" customFormat="1">
      <c r="A9" s="242" t="s">
        <v>275</v>
      </c>
      <c r="B9" s="302" t="s">
        <v>290</v>
      </c>
      <c r="C9" s="295">
        <v>0.08</v>
      </c>
      <c r="D9" s="600">
        <f>C9*'5. RWA '!$C$13</f>
        <v>156009339.85760927</v>
      </c>
    </row>
    <row r="10" spans="1:4" s="246" customFormat="1">
      <c r="A10" s="240" t="s">
        <v>276</v>
      </c>
      <c r="B10" s="301" t="s">
        <v>291</v>
      </c>
      <c r="C10" s="296"/>
      <c r="D10" s="601"/>
    </row>
    <row r="11" spans="1:4" s="247" customFormat="1">
      <c r="A11" s="243" t="s">
        <v>277</v>
      </c>
      <c r="B11" s="293" t="s">
        <v>357</v>
      </c>
      <c r="C11" s="297">
        <v>2.5000000000000001E-2</v>
      </c>
      <c r="D11" s="600">
        <f>C11*'5. RWA '!$C$13</f>
        <v>48752918.705502898</v>
      </c>
    </row>
    <row r="12" spans="1:4" s="247" customFormat="1">
      <c r="A12" s="243" t="s">
        <v>278</v>
      </c>
      <c r="B12" s="293" t="s">
        <v>292</v>
      </c>
      <c r="C12" s="297">
        <v>0</v>
      </c>
      <c r="D12" s="600">
        <f>C12*'5. RWA '!$C$13</f>
        <v>0</v>
      </c>
    </row>
    <row r="13" spans="1:4" s="247" customFormat="1">
      <c r="A13" s="243" t="s">
        <v>279</v>
      </c>
      <c r="B13" s="293" t="s">
        <v>293</v>
      </c>
      <c r="C13" s="297">
        <v>0</v>
      </c>
      <c r="D13" s="600">
        <f>C13*'5. RWA '!$C$13</f>
        <v>0</v>
      </c>
    </row>
    <row r="14" spans="1:4" s="247" customFormat="1">
      <c r="A14" s="240" t="s">
        <v>280</v>
      </c>
      <c r="B14" s="301" t="s">
        <v>354</v>
      </c>
      <c r="C14" s="298"/>
      <c r="D14" s="601"/>
    </row>
    <row r="15" spans="1:4" s="247" customFormat="1">
      <c r="A15" s="243">
        <v>3.1</v>
      </c>
      <c r="B15" s="293" t="s">
        <v>298</v>
      </c>
      <c r="C15" s="599">
        <v>3.5709146509520506E-2</v>
      </c>
      <c r="D15" s="600">
        <f>C15*'5. RWA '!$C$13</f>
        <v>69637004.672861829</v>
      </c>
    </row>
    <row r="16" spans="1:4" s="247" customFormat="1">
      <c r="A16" s="243">
        <v>3.2</v>
      </c>
      <c r="B16" s="293" t="s">
        <v>299</v>
      </c>
      <c r="C16" s="599">
        <v>4.1645804682794031E-2</v>
      </c>
      <c r="D16" s="600">
        <f>C16*'5. RWA '!$C$13</f>
        <v>81214181.205020368</v>
      </c>
    </row>
    <row r="17" spans="1:4" s="246" customFormat="1">
      <c r="A17" s="243">
        <v>3.3</v>
      </c>
      <c r="B17" s="293" t="s">
        <v>300</v>
      </c>
      <c r="C17" s="599">
        <v>4.9457197016048678E-2</v>
      </c>
      <c r="D17" s="600">
        <f>C17*'5. RWA '!$C$13</f>
        <v>96447308.221018463</v>
      </c>
    </row>
    <row r="18" spans="1:4" s="174" customFormat="1" ht="12.75" customHeight="1">
      <c r="A18" s="303"/>
      <c r="B18" s="304" t="s">
        <v>353</v>
      </c>
      <c r="C18" s="299" t="s">
        <v>284</v>
      </c>
      <c r="D18" s="602" t="s">
        <v>285</v>
      </c>
    </row>
    <row r="19" spans="1:4" s="246" customFormat="1">
      <c r="A19" s="244">
        <v>4</v>
      </c>
      <c r="B19" s="293" t="s">
        <v>294</v>
      </c>
      <c r="C19" s="297">
        <f>C7+C11+C12+C13+C15</f>
        <v>0.10570914650952051</v>
      </c>
      <c r="D19" s="600">
        <f>C19*'5. RWA '!$C$13</f>
        <v>206145177.04826996</v>
      </c>
    </row>
    <row r="20" spans="1:4" s="246" customFormat="1">
      <c r="A20" s="244">
        <v>5</v>
      </c>
      <c r="B20" s="293" t="s">
        <v>91</v>
      </c>
      <c r="C20" s="297">
        <f>C8+C11+C12+C13+C16</f>
        <v>0.12664580468279402</v>
      </c>
      <c r="D20" s="600">
        <f>C20*'5. RWA '!$C$13</f>
        <v>246974104.80373019</v>
      </c>
    </row>
    <row r="21" spans="1:4" s="246" customFormat="1" ht="14.4" thickBot="1">
      <c r="A21" s="248" t="s">
        <v>281</v>
      </c>
      <c r="B21" s="249" t="s">
        <v>295</v>
      </c>
      <c r="C21" s="300">
        <f>C9+C11+C12+C13+C17</f>
        <v>0.15445719701604868</v>
      </c>
      <c r="D21" s="603">
        <f>C21*'5. RWA '!$C$13</f>
        <v>301209566.78413063</v>
      </c>
    </row>
    <row r="23" spans="1:4" ht="53.4">
      <c r="B23" s="207" t="s">
        <v>356</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8"/>
  <sheetViews>
    <sheetView zoomScale="80" zoomScaleNormal="80" workbookViewId="0">
      <pane xSplit="1" ySplit="5" topLeftCell="B6" activePane="bottomRight" state="frozen"/>
      <selection activeCell="B47" sqref="B47"/>
      <selection pane="topRight" activeCell="B47" sqref="B47"/>
      <selection pane="bottomLeft" activeCell="B47" sqref="B47"/>
      <selection pane="bottomRight" activeCell="C66" sqref="C66"/>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31</v>
      </c>
      <c r="B1" s="3" t="str">
        <f>'Info '!C2</f>
        <v>JSC "CREDOBANK"</v>
      </c>
      <c r="E1" s="4"/>
      <c r="F1" s="4"/>
    </row>
    <row r="2" spans="1:6" s="2" customFormat="1" ht="15.75" customHeight="1">
      <c r="A2" s="2" t="s">
        <v>32</v>
      </c>
      <c r="B2" s="325">
        <f>'1. key ratios '!B2</f>
        <v>45107</v>
      </c>
    </row>
    <row r="3" spans="1:6" s="2" customFormat="1" ht="15.75" customHeight="1">
      <c r="A3" s="72"/>
    </row>
    <row r="4" spans="1:6" s="2" customFormat="1" ht="15.75" customHeight="1" thickBot="1">
      <c r="A4" s="2" t="s">
        <v>48</v>
      </c>
      <c r="B4" s="161" t="s">
        <v>179</v>
      </c>
      <c r="D4" s="17" t="s">
        <v>36</v>
      </c>
    </row>
    <row r="5" spans="1:6" ht="26.4">
      <c r="A5" s="73" t="s">
        <v>7</v>
      </c>
      <c r="B5" s="181" t="s">
        <v>219</v>
      </c>
      <c r="C5" s="74" t="s">
        <v>661</v>
      </c>
      <c r="D5" s="75" t="s">
        <v>50</v>
      </c>
    </row>
    <row r="6" spans="1:6" ht="14.4">
      <c r="A6" s="378">
        <v>1</v>
      </c>
      <c r="B6" s="379" t="s">
        <v>562</v>
      </c>
      <c r="C6" s="604">
        <f>SUM(C7:C9)</f>
        <v>299636912.65000004</v>
      </c>
      <c r="D6" s="76"/>
      <c r="E6" s="77"/>
    </row>
    <row r="7" spans="1:6" ht="14.4">
      <c r="A7" s="378">
        <v>1.1000000000000001</v>
      </c>
      <c r="B7" s="380" t="s">
        <v>563</v>
      </c>
      <c r="C7" s="605">
        <v>77426307.310000002</v>
      </c>
      <c r="D7" s="78"/>
      <c r="E7" s="77"/>
    </row>
    <row r="8" spans="1:6" ht="14.4">
      <c r="A8" s="378">
        <v>1.2</v>
      </c>
      <c r="B8" s="380" t="s">
        <v>564</v>
      </c>
      <c r="C8" s="605">
        <v>119285371.98</v>
      </c>
      <c r="D8" s="78"/>
      <c r="E8" s="77"/>
    </row>
    <row r="9" spans="1:6" ht="14.4">
      <c r="A9" s="378">
        <v>1.3</v>
      </c>
      <c r="B9" s="380" t="s">
        <v>565</v>
      </c>
      <c r="C9" s="605">
        <v>102925233.36</v>
      </c>
      <c r="D9" s="78"/>
      <c r="E9" s="77"/>
    </row>
    <row r="10" spans="1:6" ht="14.4">
      <c r="A10" s="378">
        <v>2</v>
      </c>
      <c r="B10" s="381" t="s">
        <v>566</v>
      </c>
      <c r="C10" s="606"/>
      <c r="D10" s="78"/>
      <c r="E10" s="77"/>
    </row>
    <row r="11" spans="1:6" ht="14.4">
      <c r="A11" s="378">
        <v>2.1</v>
      </c>
      <c r="B11" s="382" t="s">
        <v>567</v>
      </c>
      <c r="C11" s="607"/>
      <c r="D11" s="441"/>
      <c r="E11" s="79"/>
    </row>
    <row r="12" spans="1:6" ht="14.4">
      <c r="A12" s="378">
        <v>3</v>
      </c>
      <c r="B12" s="383" t="s">
        <v>568</v>
      </c>
      <c r="C12" s="608">
        <v>698316.45</v>
      </c>
      <c r="D12" s="441"/>
      <c r="E12" s="79"/>
    </row>
    <row r="13" spans="1:6" ht="14.4">
      <c r="A13" s="378">
        <v>4</v>
      </c>
      <c r="B13" s="384" t="s">
        <v>569</v>
      </c>
      <c r="C13" s="608"/>
      <c r="D13" s="441"/>
      <c r="E13" s="79"/>
    </row>
    <row r="14" spans="1:6" ht="14.4">
      <c r="A14" s="378">
        <v>5</v>
      </c>
      <c r="B14" s="385" t="s">
        <v>570</v>
      </c>
      <c r="C14" s="608">
        <f>SUM(C15:C17)</f>
        <v>0</v>
      </c>
      <c r="D14" s="441"/>
      <c r="E14" s="79"/>
    </row>
    <row r="15" spans="1:6" ht="14.4">
      <c r="A15" s="378">
        <v>5.0999999999999996</v>
      </c>
      <c r="B15" s="386" t="s">
        <v>571</v>
      </c>
      <c r="C15" s="605"/>
      <c r="D15" s="441"/>
      <c r="E15" s="77"/>
    </row>
    <row r="16" spans="1:6" ht="14.4">
      <c r="A16" s="378">
        <v>5.2</v>
      </c>
      <c r="B16" s="386" t="s">
        <v>572</v>
      </c>
      <c r="C16" s="605"/>
      <c r="D16" s="78"/>
      <c r="E16" s="77"/>
    </row>
    <row r="17" spans="1:5" ht="14.4">
      <c r="A17" s="378">
        <v>5.3</v>
      </c>
      <c r="B17" s="387" t="s">
        <v>573</v>
      </c>
      <c r="C17" s="605"/>
      <c r="D17" s="78"/>
      <c r="E17" s="77"/>
    </row>
    <row r="18" spans="1:5" ht="14.4">
      <c r="A18" s="378">
        <v>6</v>
      </c>
      <c r="B18" s="383" t="s">
        <v>574</v>
      </c>
      <c r="C18" s="606">
        <f>SUM(C19:C20)</f>
        <v>1887467489.6987078</v>
      </c>
      <c r="D18" s="78"/>
      <c r="E18" s="77"/>
    </row>
    <row r="19" spans="1:5" ht="14.4">
      <c r="A19" s="378">
        <v>6.1</v>
      </c>
      <c r="B19" s="386" t="s">
        <v>572</v>
      </c>
      <c r="C19" s="607">
        <v>48863928.109999999</v>
      </c>
      <c r="D19" s="78"/>
      <c r="E19" s="77"/>
    </row>
    <row r="20" spans="1:5" ht="14.4">
      <c r="A20" s="378">
        <v>6.2</v>
      </c>
      <c r="B20" s="387" t="s">
        <v>573</v>
      </c>
      <c r="C20" s="607">
        <v>1838603561.5887079</v>
      </c>
      <c r="D20" s="78"/>
      <c r="E20" s="77"/>
    </row>
    <row r="21" spans="1:5" ht="14.4">
      <c r="A21" s="378">
        <v>7</v>
      </c>
      <c r="B21" s="381" t="s">
        <v>575</v>
      </c>
      <c r="C21" s="608"/>
      <c r="D21" s="78"/>
      <c r="E21" s="77"/>
    </row>
    <row r="22" spans="1:5" ht="14.4">
      <c r="A22" s="378">
        <v>8</v>
      </c>
      <c r="B22" s="388" t="s">
        <v>576</v>
      </c>
      <c r="C22" s="606"/>
      <c r="D22" s="78"/>
      <c r="E22" s="77"/>
    </row>
    <row r="23" spans="1:5" ht="14.4">
      <c r="A23" s="378">
        <v>9</v>
      </c>
      <c r="B23" s="384" t="s">
        <v>577</v>
      </c>
      <c r="C23" s="606">
        <f>SUM(C24:C25)</f>
        <v>38702281.240000002</v>
      </c>
      <c r="D23" s="442"/>
      <c r="E23" s="77"/>
    </row>
    <row r="24" spans="1:5" ht="14.4">
      <c r="A24" s="378">
        <v>9.1</v>
      </c>
      <c r="B24" s="386" t="s">
        <v>578</v>
      </c>
      <c r="C24" s="609">
        <v>38702281.240000002</v>
      </c>
      <c r="D24" s="80"/>
      <c r="E24" s="77"/>
    </row>
    <row r="25" spans="1:5" ht="14.4">
      <c r="A25" s="378">
        <v>9.1999999999999993</v>
      </c>
      <c r="B25" s="386" t="s">
        <v>579</v>
      </c>
      <c r="C25" s="610"/>
      <c r="D25" s="440"/>
      <c r="E25" s="81"/>
    </row>
    <row r="26" spans="1:5" ht="14.4">
      <c r="A26" s="378">
        <v>10</v>
      </c>
      <c r="B26" s="384" t="s">
        <v>580</v>
      </c>
      <c r="C26" s="611">
        <f>SUM(C27:C28)</f>
        <v>18857962.90000001</v>
      </c>
      <c r="D26" s="541" t="s">
        <v>703</v>
      </c>
      <c r="E26" s="77"/>
    </row>
    <row r="27" spans="1:5" ht="14.4">
      <c r="A27" s="378">
        <v>10.1</v>
      </c>
      <c r="B27" s="386" t="s">
        <v>581</v>
      </c>
      <c r="C27" s="605">
        <v>18857962.90000001</v>
      </c>
      <c r="D27" s="78"/>
      <c r="E27" s="77"/>
    </row>
    <row r="28" spans="1:5" ht="14.4">
      <c r="A28" s="378">
        <v>10.199999999999999</v>
      </c>
      <c r="B28" s="386" t="s">
        <v>582</v>
      </c>
      <c r="C28" s="605"/>
      <c r="D28" s="78"/>
      <c r="E28" s="77"/>
    </row>
    <row r="29" spans="1:5" ht="14.4">
      <c r="A29" s="378">
        <v>11</v>
      </c>
      <c r="B29" s="384" t="s">
        <v>583</v>
      </c>
      <c r="C29" s="606">
        <f>SUM(C30:C31)</f>
        <v>1116264.32</v>
      </c>
      <c r="D29" s="78"/>
      <c r="E29" s="77"/>
    </row>
    <row r="30" spans="1:5" ht="14.4">
      <c r="A30" s="378">
        <v>11.1</v>
      </c>
      <c r="B30" s="386" t="s">
        <v>584</v>
      </c>
      <c r="C30" s="605">
        <v>1116264.32</v>
      </c>
      <c r="D30" s="78"/>
      <c r="E30" s="77"/>
    </row>
    <row r="31" spans="1:5" ht="14.4">
      <c r="A31" s="378">
        <v>11.2</v>
      </c>
      <c r="B31" s="386" t="s">
        <v>585</v>
      </c>
      <c r="C31" s="605"/>
      <c r="D31" s="78"/>
      <c r="E31" s="77"/>
    </row>
    <row r="32" spans="1:5" ht="14.4">
      <c r="A32" s="378">
        <v>13</v>
      </c>
      <c r="B32" s="384" t="s">
        <v>586</v>
      </c>
      <c r="C32" s="606">
        <v>34443741</v>
      </c>
      <c r="D32" s="78"/>
      <c r="E32" s="77"/>
    </row>
    <row r="33" spans="1:5" ht="14.4">
      <c r="A33" s="378">
        <v>13.1</v>
      </c>
      <c r="B33" s="389" t="s">
        <v>587</v>
      </c>
      <c r="C33" s="605"/>
      <c r="D33" s="78"/>
      <c r="E33" s="77"/>
    </row>
    <row r="34" spans="1:5" ht="14.4">
      <c r="A34" s="378">
        <v>13.2</v>
      </c>
      <c r="B34" s="389" t="s">
        <v>588</v>
      </c>
      <c r="C34" s="609"/>
      <c r="D34" s="80"/>
      <c r="E34" s="77"/>
    </row>
    <row r="35" spans="1:5" ht="14.4">
      <c r="A35" s="378">
        <v>14</v>
      </c>
      <c r="B35" s="390" t="s">
        <v>589</v>
      </c>
      <c r="C35" s="612">
        <f>SUM(C6,C10,C12,C13,C14,C18,C21,C22,C23,C26,C29,C32)</f>
        <v>2280922968.258708</v>
      </c>
      <c r="D35" s="80"/>
      <c r="E35" s="77"/>
    </row>
    <row r="36" spans="1:5" ht="14.4">
      <c r="A36" s="378"/>
      <c r="B36" s="391" t="s">
        <v>590</v>
      </c>
      <c r="C36" s="613"/>
      <c r="D36" s="82"/>
      <c r="E36" s="77"/>
    </row>
    <row r="37" spans="1:5" ht="14.4">
      <c r="A37" s="378">
        <v>15</v>
      </c>
      <c r="B37" s="392" t="s">
        <v>591</v>
      </c>
      <c r="C37" s="610"/>
      <c r="D37" s="440"/>
      <c r="E37" s="81"/>
    </row>
    <row r="38" spans="1:5" ht="14.4">
      <c r="A38" s="394">
        <v>15.1</v>
      </c>
      <c r="B38" s="395" t="s">
        <v>567</v>
      </c>
      <c r="C38" s="605"/>
      <c r="D38" s="78"/>
      <c r="E38" s="77"/>
    </row>
    <row r="39" spans="1:5" ht="14.4">
      <c r="A39" s="394">
        <v>16</v>
      </c>
      <c r="B39" s="381" t="s">
        <v>592</v>
      </c>
      <c r="C39" s="606"/>
      <c r="D39" s="78"/>
      <c r="E39" s="77"/>
    </row>
    <row r="40" spans="1:5" ht="14.4">
      <c r="A40" s="394">
        <v>17</v>
      </c>
      <c r="B40" s="381" t="s">
        <v>593</v>
      </c>
      <c r="C40" s="606">
        <f>SUM(C41:C44)</f>
        <v>1858793733.7</v>
      </c>
      <c r="D40" s="78"/>
      <c r="E40" s="77"/>
    </row>
    <row r="41" spans="1:5" ht="14.4">
      <c r="A41" s="394">
        <v>17.100000000000001</v>
      </c>
      <c r="B41" s="396" t="s">
        <v>594</v>
      </c>
      <c r="C41" s="605">
        <v>750741223.1099999</v>
      </c>
      <c r="D41" s="78"/>
      <c r="E41" s="77"/>
    </row>
    <row r="42" spans="1:5" ht="14.4">
      <c r="A42" s="394">
        <v>17.2</v>
      </c>
      <c r="B42" s="397" t="s">
        <v>595</v>
      </c>
      <c r="C42" s="609">
        <v>1090910710.4100001</v>
      </c>
      <c r="D42" s="78"/>
      <c r="E42" s="77"/>
    </row>
    <row r="43" spans="1:5" ht="14.4">
      <c r="A43" s="394">
        <v>17.3</v>
      </c>
      <c r="B43" s="431" t="s">
        <v>596</v>
      </c>
      <c r="C43" s="614"/>
      <c r="D43" s="80"/>
      <c r="E43" s="77"/>
    </row>
    <row r="44" spans="1:5" ht="14.4">
      <c r="A44" s="394">
        <v>17.399999999999999</v>
      </c>
      <c r="B44" s="432" t="s">
        <v>597</v>
      </c>
      <c r="C44" s="614">
        <v>17141800.18</v>
      </c>
      <c r="D44" s="433"/>
      <c r="E44" s="77"/>
    </row>
    <row r="45" spans="1:5" ht="14.4">
      <c r="A45" s="394">
        <v>18</v>
      </c>
      <c r="B45" s="405" t="s">
        <v>598</v>
      </c>
      <c r="C45" s="615"/>
      <c r="D45" s="439"/>
      <c r="E45" s="81"/>
    </row>
    <row r="46" spans="1:5" ht="14.4">
      <c r="A46" s="394">
        <v>19</v>
      </c>
      <c r="B46" s="405" t="s">
        <v>599</v>
      </c>
      <c r="C46" s="606">
        <f>SUM(C47:C48)</f>
        <v>2365519.34</v>
      </c>
      <c r="D46" s="434"/>
    </row>
    <row r="47" spans="1:5" ht="14.4">
      <c r="A47" s="394">
        <v>19.100000000000001</v>
      </c>
      <c r="B47" s="435" t="s">
        <v>600</v>
      </c>
      <c r="C47" s="616"/>
      <c r="D47" s="434"/>
    </row>
    <row r="48" spans="1:5" ht="14.4">
      <c r="A48" s="394">
        <v>19.2</v>
      </c>
      <c r="B48" s="435" t="s">
        <v>601</v>
      </c>
      <c r="C48" s="605">
        <v>2365519.34</v>
      </c>
      <c r="D48" s="434"/>
    </row>
    <row r="49" spans="1:4" ht="14.4">
      <c r="A49" s="394">
        <v>20</v>
      </c>
      <c r="B49" s="400" t="s">
        <v>602</v>
      </c>
      <c r="C49" s="606">
        <v>104339709.5</v>
      </c>
      <c r="D49" s="434"/>
    </row>
    <row r="50" spans="1:4" ht="14.4">
      <c r="A50" s="394">
        <v>21</v>
      </c>
      <c r="B50" s="436" t="s">
        <v>603</v>
      </c>
      <c r="C50" s="606">
        <v>35898050.839999996</v>
      </c>
      <c r="D50" s="434"/>
    </row>
    <row r="51" spans="1:4" ht="14.4">
      <c r="A51" s="394">
        <v>21.1</v>
      </c>
      <c r="B51" s="397" t="s">
        <v>604</v>
      </c>
      <c r="C51" s="616"/>
      <c r="D51" s="434"/>
    </row>
    <row r="52" spans="1:4" ht="14.4">
      <c r="A52" s="394">
        <v>22</v>
      </c>
      <c r="B52" s="401" t="s">
        <v>605</v>
      </c>
      <c r="C52" s="606">
        <f>SUM(C37,C39,C40,C45,C46,C49,C50)</f>
        <v>2001397013.3799999</v>
      </c>
      <c r="D52" s="434"/>
    </row>
    <row r="53" spans="1:4" ht="14.4">
      <c r="A53" s="394"/>
      <c r="B53" s="402" t="s">
        <v>606</v>
      </c>
      <c r="C53" s="617"/>
      <c r="D53" s="434"/>
    </row>
    <row r="54" spans="1:4" ht="14.4">
      <c r="A54" s="394">
        <v>23</v>
      </c>
      <c r="B54" s="400" t="s">
        <v>607</v>
      </c>
      <c r="C54" s="606">
        <v>5207180</v>
      </c>
      <c r="D54" s="434"/>
    </row>
    <row r="55" spans="1:4" ht="14.4">
      <c r="A55" s="394">
        <v>24</v>
      </c>
      <c r="B55" s="400" t="s">
        <v>608</v>
      </c>
      <c r="C55" s="618"/>
      <c r="D55" s="434"/>
    </row>
    <row r="56" spans="1:4" ht="14.4">
      <c r="A56" s="394">
        <v>25</v>
      </c>
      <c r="B56" s="405" t="s">
        <v>609</v>
      </c>
      <c r="C56" s="606">
        <v>36929894.049999997</v>
      </c>
      <c r="D56" s="434"/>
    </row>
    <row r="57" spans="1:4" ht="14.4">
      <c r="A57" s="394">
        <v>26</v>
      </c>
      <c r="B57" s="405" t="s">
        <v>610</v>
      </c>
      <c r="C57" s="618"/>
      <c r="D57" s="434"/>
    </row>
    <row r="58" spans="1:4" ht="14.4">
      <c r="A58" s="394">
        <v>27</v>
      </c>
      <c r="B58" s="405" t="s">
        <v>611</v>
      </c>
      <c r="C58" s="618">
        <f>SUM(C59:C60)</f>
        <v>0</v>
      </c>
      <c r="D58" s="434"/>
    </row>
    <row r="59" spans="1:4" ht="14.4">
      <c r="A59" s="394">
        <v>27.1</v>
      </c>
      <c r="B59" s="432" t="s">
        <v>612</v>
      </c>
      <c r="C59" s="619"/>
      <c r="D59" s="434"/>
    </row>
    <row r="60" spans="1:4" ht="14.4">
      <c r="A60" s="394">
        <v>27.2</v>
      </c>
      <c r="B60" s="432" t="s">
        <v>613</v>
      </c>
      <c r="C60" s="619"/>
      <c r="D60" s="434"/>
    </row>
    <row r="61" spans="1:4" ht="14.4">
      <c r="A61" s="394">
        <v>28</v>
      </c>
      <c r="B61" s="403" t="s">
        <v>614</v>
      </c>
      <c r="C61" s="618"/>
      <c r="D61" s="434"/>
    </row>
    <row r="62" spans="1:4" ht="14.4">
      <c r="A62" s="394">
        <v>29</v>
      </c>
      <c r="B62" s="405" t="s">
        <v>615</v>
      </c>
      <c r="C62" s="618">
        <f>SUM(C63:C65)</f>
        <v>0</v>
      </c>
      <c r="D62" s="434"/>
    </row>
    <row r="63" spans="1:4" ht="14.4">
      <c r="A63" s="394">
        <v>29.1</v>
      </c>
      <c r="B63" s="437" t="s">
        <v>616</v>
      </c>
      <c r="C63" s="619"/>
      <c r="D63" s="434"/>
    </row>
    <row r="64" spans="1:4" ht="14.4">
      <c r="A64" s="394">
        <v>29.2</v>
      </c>
      <c r="B64" s="435" t="s">
        <v>617</v>
      </c>
      <c r="C64" s="619"/>
      <c r="D64" s="434"/>
    </row>
    <row r="65" spans="1:4" ht="14.4">
      <c r="A65" s="394">
        <v>29.3</v>
      </c>
      <c r="B65" s="435" t="s">
        <v>618</v>
      </c>
      <c r="C65" s="619"/>
      <c r="D65" s="434"/>
    </row>
    <row r="66" spans="1:4" ht="14.4">
      <c r="A66" s="394">
        <v>30</v>
      </c>
      <c r="B66" s="405" t="s">
        <v>619</v>
      </c>
      <c r="C66" s="606">
        <v>237388881.46999991</v>
      </c>
      <c r="D66" s="434"/>
    </row>
    <row r="67" spans="1:4" ht="14.4">
      <c r="A67" s="394">
        <v>31</v>
      </c>
      <c r="B67" s="438" t="s">
        <v>620</v>
      </c>
      <c r="C67" s="606">
        <f>SUM(C54,C55,C56,C57,C58,C61,C62,C66)</f>
        <v>279525955.51999992</v>
      </c>
      <c r="D67" s="434"/>
    </row>
    <row r="68" spans="1:4" ht="14.4">
      <c r="A68" s="394">
        <v>32</v>
      </c>
      <c r="B68" s="405" t="s">
        <v>621</v>
      </c>
      <c r="C68" s="606">
        <f>SUM(C52,C67)</f>
        <v>2280922968.8999996</v>
      </c>
      <c r="D68" s="43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C8" sqref="C8:R21"/>
    </sheetView>
  </sheetViews>
  <sheetFormatPr defaultColWidth="9.21875" defaultRowHeight="13.2"/>
  <cols>
    <col min="1" max="1" width="10.5546875" style="4" bestFit="1" customWidth="1"/>
    <col min="2" max="2" width="56"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4.109375" style="4" bestFit="1" customWidth="1"/>
    <col min="12" max="12" width="13.109375" style="16" customWidth="1"/>
    <col min="13" max="16" width="13" style="16" bestFit="1" customWidth="1"/>
    <col min="17" max="17" width="14.77734375" style="16" customWidth="1"/>
    <col min="18" max="18" width="13" style="16" bestFit="1" customWidth="1"/>
    <col min="19" max="19" width="34.77734375" style="16" customWidth="1"/>
    <col min="20" max="16384" width="9.21875" style="16"/>
  </cols>
  <sheetData>
    <row r="1" spans="1:19">
      <c r="A1" s="2" t="s">
        <v>31</v>
      </c>
      <c r="B1" s="3" t="str">
        <f>'Info '!C2</f>
        <v>JSC "CREDOBANK"</v>
      </c>
    </row>
    <row r="2" spans="1:19">
      <c r="A2" s="2" t="s">
        <v>32</v>
      </c>
      <c r="B2" s="325">
        <f>'1. key ratios '!B2</f>
        <v>45107</v>
      </c>
    </row>
    <row r="4" spans="1:19" ht="40.200000000000003" thickBot="1">
      <c r="A4" s="4" t="s">
        <v>147</v>
      </c>
      <c r="B4" s="198" t="s">
        <v>252</v>
      </c>
    </row>
    <row r="5" spans="1:19" s="188" customFormat="1" ht="13.8">
      <c r="A5" s="183"/>
      <c r="B5" s="184"/>
      <c r="C5" s="185" t="s">
        <v>0</v>
      </c>
      <c r="D5" s="185" t="s">
        <v>1</v>
      </c>
      <c r="E5" s="185" t="s">
        <v>2</v>
      </c>
      <c r="F5" s="185" t="s">
        <v>3</v>
      </c>
      <c r="G5" s="185" t="s">
        <v>4</v>
      </c>
      <c r="H5" s="185" t="s">
        <v>6</v>
      </c>
      <c r="I5" s="185" t="s">
        <v>9</v>
      </c>
      <c r="J5" s="185" t="s">
        <v>10</v>
      </c>
      <c r="K5" s="185" t="s">
        <v>11</v>
      </c>
      <c r="L5" s="185" t="s">
        <v>12</v>
      </c>
      <c r="M5" s="185" t="s">
        <v>13</v>
      </c>
      <c r="N5" s="185" t="s">
        <v>14</v>
      </c>
      <c r="O5" s="185" t="s">
        <v>236</v>
      </c>
      <c r="P5" s="185" t="s">
        <v>237</v>
      </c>
      <c r="Q5" s="185" t="s">
        <v>238</v>
      </c>
      <c r="R5" s="186" t="s">
        <v>239</v>
      </c>
      <c r="S5" s="187" t="s">
        <v>240</v>
      </c>
    </row>
    <row r="6" spans="1:19" s="188" customFormat="1" ht="99" customHeight="1">
      <c r="A6" s="189"/>
      <c r="B6" s="739" t="s">
        <v>241</v>
      </c>
      <c r="C6" s="735">
        <v>0</v>
      </c>
      <c r="D6" s="736"/>
      <c r="E6" s="735">
        <v>0.2</v>
      </c>
      <c r="F6" s="736"/>
      <c r="G6" s="735">
        <v>0.35</v>
      </c>
      <c r="H6" s="736"/>
      <c r="I6" s="735">
        <v>0.5</v>
      </c>
      <c r="J6" s="736"/>
      <c r="K6" s="735">
        <v>0.75</v>
      </c>
      <c r="L6" s="736"/>
      <c r="M6" s="735">
        <v>1</v>
      </c>
      <c r="N6" s="736"/>
      <c r="O6" s="735">
        <v>1.5</v>
      </c>
      <c r="P6" s="736"/>
      <c r="Q6" s="735">
        <v>2.5</v>
      </c>
      <c r="R6" s="736"/>
      <c r="S6" s="737" t="s">
        <v>146</v>
      </c>
    </row>
    <row r="7" spans="1:19" s="188" customFormat="1" ht="30.75" customHeight="1">
      <c r="A7" s="189"/>
      <c r="B7" s="740"/>
      <c r="C7" s="180" t="s">
        <v>149</v>
      </c>
      <c r="D7" s="180" t="s">
        <v>148</v>
      </c>
      <c r="E7" s="180" t="s">
        <v>149</v>
      </c>
      <c r="F7" s="180" t="s">
        <v>148</v>
      </c>
      <c r="G7" s="180" t="s">
        <v>149</v>
      </c>
      <c r="H7" s="180" t="s">
        <v>148</v>
      </c>
      <c r="I7" s="180" t="s">
        <v>149</v>
      </c>
      <c r="J7" s="180" t="s">
        <v>148</v>
      </c>
      <c r="K7" s="180" t="s">
        <v>149</v>
      </c>
      <c r="L7" s="180" t="s">
        <v>148</v>
      </c>
      <c r="M7" s="180" t="s">
        <v>149</v>
      </c>
      <c r="N7" s="180" t="s">
        <v>148</v>
      </c>
      <c r="O7" s="180" t="s">
        <v>149</v>
      </c>
      <c r="P7" s="180" t="s">
        <v>148</v>
      </c>
      <c r="Q7" s="180" t="s">
        <v>149</v>
      </c>
      <c r="R7" s="180" t="s">
        <v>148</v>
      </c>
      <c r="S7" s="738"/>
    </row>
    <row r="8" spans="1:19" ht="26.4">
      <c r="A8" s="83">
        <v>1</v>
      </c>
      <c r="B8" s="1" t="s">
        <v>52</v>
      </c>
      <c r="C8" s="84">
        <v>108113670.19999999</v>
      </c>
      <c r="D8" s="84"/>
      <c r="E8" s="84"/>
      <c r="F8" s="84"/>
      <c r="G8" s="84"/>
      <c r="H8" s="84"/>
      <c r="I8" s="84"/>
      <c r="J8" s="84"/>
      <c r="K8" s="84"/>
      <c r="L8" s="84"/>
      <c r="M8" s="84">
        <v>33909903.859999999</v>
      </c>
      <c r="N8" s="84"/>
      <c r="O8" s="84"/>
      <c r="P8" s="84"/>
      <c r="Q8" s="84"/>
      <c r="R8" s="84"/>
      <c r="S8" s="199">
        <f>$C$6*SUM(C8:D8)+$E$6*SUM(E8:F8)+$G$6*SUM(G8:H8)+$I$6*SUM(I8:J8)+$K$6*SUM(K8:L8)+$M$6*SUM(M8:N8)+$O$6*SUM(O8:P8)+$Q$6*SUM(Q8:R8)</f>
        <v>33909903.859999999</v>
      </c>
    </row>
    <row r="9" spans="1:19" ht="26.4">
      <c r="A9" s="83">
        <v>2</v>
      </c>
      <c r="B9" s="1" t="s">
        <v>53</v>
      </c>
      <c r="C9" s="84"/>
      <c r="D9" s="84"/>
      <c r="E9" s="84"/>
      <c r="F9" s="84"/>
      <c r="G9" s="84"/>
      <c r="H9" s="84"/>
      <c r="I9" s="84"/>
      <c r="J9" s="84"/>
      <c r="K9" s="84"/>
      <c r="L9" s="84"/>
      <c r="M9" s="84"/>
      <c r="N9" s="84"/>
      <c r="O9" s="84"/>
      <c r="P9" s="84"/>
      <c r="Q9" s="84"/>
      <c r="R9" s="84"/>
      <c r="S9" s="199">
        <f t="shared" ref="S9:S21" si="0">$C$6*SUM(C9:D9)+$E$6*SUM(E9:F9)+$G$6*SUM(G9:H9)+$I$6*SUM(I9:J9)+$K$6*SUM(K9:L9)+$M$6*SUM(M9:N9)+$O$6*SUM(O9:P9)+$Q$6*SUM(Q9:R9)</f>
        <v>0</v>
      </c>
    </row>
    <row r="10" spans="1:19">
      <c r="A10" s="83">
        <v>3</v>
      </c>
      <c r="B10" s="1" t="s">
        <v>165</v>
      </c>
      <c r="C10" s="84">
        <v>26125726.030000001</v>
      </c>
      <c r="D10" s="84"/>
      <c r="E10" s="84"/>
      <c r="F10" s="84"/>
      <c r="G10" s="84"/>
      <c r="H10" s="84"/>
      <c r="I10" s="84"/>
      <c r="J10" s="84"/>
      <c r="K10" s="84"/>
      <c r="L10" s="84"/>
      <c r="M10" s="84"/>
      <c r="N10" s="84"/>
      <c r="O10" s="84"/>
      <c r="P10" s="84"/>
      <c r="Q10" s="84"/>
      <c r="R10" s="84"/>
      <c r="S10" s="199">
        <f t="shared" si="0"/>
        <v>0</v>
      </c>
    </row>
    <row r="11" spans="1:19">
      <c r="A11" s="83">
        <v>4</v>
      </c>
      <c r="B11" s="1" t="s">
        <v>54</v>
      </c>
      <c r="C11" s="84"/>
      <c r="D11" s="84"/>
      <c r="E11" s="84"/>
      <c r="F11" s="84"/>
      <c r="G11" s="84"/>
      <c r="H11" s="84"/>
      <c r="I11" s="84"/>
      <c r="J11" s="84"/>
      <c r="K11" s="84"/>
      <c r="L11" s="84"/>
      <c r="M11" s="84"/>
      <c r="N11" s="84"/>
      <c r="O11" s="84"/>
      <c r="P11" s="84"/>
      <c r="Q11" s="84"/>
      <c r="R11" s="84"/>
      <c r="S11" s="199">
        <f t="shared" si="0"/>
        <v>0</v>
      </c>
    </row>
    <row r="12" spans="1:19" ht="26.4">
      <c r="A12" s="83">
        <v>5</v>
      </c>
      <c r="B12" s="1" t="s">
        <v>55</v>
      </c>
      <c r="C12" s="84"/>
      <c r="D12" s="84"/>
      <c r="E12" s="84"/>
      <c r="F12" s="84"/>
      <c r="G12" s="84"/>
      <c r="H12" s="84"/>
      <c r="I12" s="84"/>
      <c r="J12" s="84"/>
      <c r="K12" s="84"/>
      <c r="L12" s="84"/>
      <c r="M12" s="84"/>
      <c r="N12" s="84"/>
      <c r="O12" s="84"/>
      <c r="P12" s="84"/>
      <c r="Q12" s="84"/>
      <c r="R12" s="84"/>
      <c r="S12" s="199">
        <f t="shared" si="0"/>
        <v>0</v>
      </c>
    </row>
    <row r="13" spans="1:19">
      <c r="A13" s="83">
        <v>6</v>
      </c>
      <c r="B13" s="1" t="s">
        <v>56</v>
      </c>
      <c r="C13" s="84"/>
      <c r="D13" s="84"/>
      <c r="E13" s="84">
        <v>56985224.159999996</v>
      </c>
      <c r="F13" s="84"/>
      <c r="G13" s="84"/>
      <c r="H13" s="84"/>
      <c r="I13" s="84">
        <v>45927032.269999996</v>
      </c>
      <c r="J13" s="84"/>
      <c r="K13" s="84"/>
      <c r="L13" s="84"/>
      <c r="M13" s="84">
        <v>12976.729999996722</v>
      </c>
      <c r="N13" s="84"/>
      <c r="O13" s="84"/>
      <c r="P13" s="84"/>
      <c r="Q13" s="84"/>
      <c r="R13" s="84"/>
      <c r="S13" s="199">
        <f t="shared" si="0"/>
        <v>34373537.696999997</v>
      </c>
    </row>
    <row r="14" spans="1:19">
      <c r="A14" s="83">
        <v>7</v>
      </c>
      <c r="B14" s="1" t="s">
        <v>57</v>
      </c>
      <c r="C14" s="84"/>
      <c r="D14" s="84"/>
      <c r="E14" s="84"/>
      <c r="F14" s="84"/>
      <c r="G14" s="84"/>
      <c r="H14" s="84"/>
      <c r="I14" s="84"/>
      <c r="J14" s="84"/>
      <c r="K14" s="84"/>
      <c r="L14" s="84"/>
      <c r="M14" s="84">
        <v>24551204.726028483</v>
      </c>
      <c r="N14" s="84">
        <v>1475185.5</v>
      </c>
      <c r="O14" s="84"/>
      <c r="P14" s="84"/>
      <c r="Q14" s="84"/>
      <c r="R14" s="84"/>
      <c r="S14" s="199">
        <f t="shared" si="0"/>
        <v>26026390.226028483</v>
      </c>
    </row>
    <row r="15" spans="1:19">
      <c r="A15" s="83">
        <v>8</v>
      </c>
      <c r="B15" s="1" t="s">
        <v>58</v>
      </c>
      <c r="C15" s="84"/>
      <c r="D15" s="84"/>
      <c r="E15" s="84"/>
      <c r="F15" s="84"/>
      <c r="G15" s="84"/>
      <c r="H15" s="84"/>
      <c r="I15" s="84" t="s">
        <v>5</v>
      </c>
      <c r="J15" s="84"/>
      <c r="K15" s="84">
        <v>1713527734.9573371</v>
      </c>
      <c r="L15" s="84">
        <v>19616515.489999998</v>
      </c>
      <c r="M15" s="84"/>
      <c r="N15" s="84"/>
      <c r="O15" s="84"/>
      <c r="P15" s="84"/>
      <c r="Q15" s="84"/>
      <c r="R15" s="84"/>
      <c r="S15" s="199">
        <f t="shared" si="0"/>
        <v>1299858187.8355029</v>
      </c>
    </row>
    <row r="16" spans="1:19" ht="26.4">
      <c r="A16" s="83">
        <v>9</v>
      </c>
      <c r="B16" s="1" t="s">
        <v>59</v>
      </c>
      <c r="C16" s="84"/>
      <c r="D16" s="84"/>
      <c r="E16" s="84"/>
      <c r="F16" s="84"/>
      <c r="G16" s="84">
        <v>94486463.592343926</v>
      </c>
      <c r="H16" s="84"/>
      <c r="I16" s="84"/>
      <c r="J16" s="84"/>
      <c r="K16" s="84"/>
      <c r="L16" s="84"/>
      <c r="M16" s="84"/>
      <c r="N16" s="84"/>
      <c r="O16" s="84"/>
      <c r="P16" s="84"/>
      <c r="Q16" s="84"/>
      <c r="R16" s="84"/>
      <c r="S16" s="199">
        <f t="shared" si="0"/>
        <v>33070262.257320371</v>
      </c>
    </row>
    <row r="17" spans="1:19">
      <c r="A17" s="83">
        <v>10</v>
      </c>
      <c r="B17" s="1" t="s">
        <v>60</v>
      </c>
      <c r="C17" s="84"/>
      <c r="D17" s="84"/>
      <c r="E17" s="84"/>
      <c r="F17" s="84"/>
      <c r="G17" s="84"/>
      <c r="H17" s="84"/>
      <c r="I17" s="84"/>
      <c r="J17" s="84"/>
      <c r="K17" s="84"/>
      <c r="L17" s="84"/>
      <c r="M17" s="84">
        <v>2530259.4037256818</v>
      </c>
      <c r="N17" s="84"/>
      <c r="O17" s="84">
        <v>3507898.9092683196</v>
      </c>
      <c r="P17" s="84"/>
      <c r="Q17" s="84"/>
      <c r="R17" s="84"/>
      <c r="S17" s="199">
        <f t="shared" si="0"/>
        <v>7792107.7676281612</v>
      </c>
    </row>
    <row r="18" spans="1:19">
      <c r="A18" s="83">
        <v>11</v>
      </c>
      <c r="B18" s="1" t="s">
        <v>61</v>
      </c>
      <c r="C18" s="84"/>
      <c r="D18" s="84"/>
      <c r="E18" s="84"/>
      <c r="F18" s="84"/>
      <c r="G18" s="84"/>
      <c r="H18" s="84"/>
      <c r="I18" s="84"/>
      <c r="J18" s="84"/>
      <c r="K18" s="84"/>
      <c r="L18" s="84"/>
      <c r="M18" s="84"/>
      <c r="N18" s="84"/>
      <c r="O18" s="84"/>
      <c r="P18" s="84"/>
      <c r="Q18" s="84"/>
      <c r="R18" s="84"/>
      <c r="S18" s="199">
        <f t="shared" si="0"/>
        <v>0</v>
      </c>
    </row>
    <row r="19" spans="1:19">
      <c r="A19" s="83">
        <v>12</v>
      </c>
      <c r="B19" s="1" t="s">
        <v>62</v>
      </c>
      <c r="C19" s="84"/>
      <c r="D19" s="84"/>
      <c r="E19" s="84"/>
      <c r="F19" s="84"/>
      <c r="G19" s="84"/>
      <c r="H19" s="84"/>
      <c r="I19" s="84"/>
      <c r="J19" s="84"/>
      <c r="K19" s="84"/>
      <c r="L19" s="84"/>
      <c r="M19" s="84"/>
      <c r="N19" s="84"/>
      <c r="O19" s="84"/>
      <c r="P19" s="84"/>
      <c r="Q19" s="84"/>
      <c r="R19" s="84"/>
      <c r="S19" s="199">
        <f t="shared" si="0"/>
        <v>0</v>
      </c>
    </row>
    <row r="20" spans="1:19">
      <c r="A20" s="83">
        <v>13</v>
      </c>
      <c r="B20" s="1" t="s">
        <v>145</v>
      </c>
      <c r="C20" s="84"/>
      <c r="D20" s="84"/>
      <c r="E20" s="84"/>
      <c r="F20" s="84"/>
      <c r="G20" s="84"/>
      <c r="H20" s="84"/>
      <c r="I20" s="84"/>
      <c r="J20" s="84"/>
      <c r="K20" s="84"/>
      <c r="L20" s="84"/>
      <c r="M20" s="84"/>
      <c r="N20" s="84"/>
      <c r="O20" s="84"/>
      <c r="P20" s="84"/>
      <c r="Q20" s="84"/>
      <c r="R20" s="84"/>
      <c r="S20" s="199">
        <f t="shared" si="0"/>
        <v>0</v>
      </c>
    </row>
    <row r="21" spans="1:19">
      <c r="A21" s="83">
        <v>14</v>
      </c>
      <c r="B21" s="1" t="s">
        <v>64</v>
      </c>
      <c r="C21" s="84">
        <v>77426307.310000002</v>
      </c>
      <c r="D21" s="84"/>
      <c r="E21" s="84"/>
      <c r="F21" s="84"/>
      <c r="G21" s="84"/>
      <c r="H21" s="84"/>
      <c r="I21" s="84"/>
      <c r="J21" s="84"/>
      <c r="K21" s="84"/>
      <c r="L21" s="84"/>
      <c r="M21" s="84">
        <v>74960603.139999986</v>
      </c>
      <c r="N21" s="84"/>
      <c r="O21" s="84"/>
      <c r="P21" s="84"/>
      <c r="Q21" s="84"/>
      <c r="R21" s="84"/>
      <c r="S21" s="199">
        <f t="shared" si="0"/>
        <v>74960603.139999986</v>
      </c>
    </row>
    <row r="22" spans="1:19" ht="13.8" thickBot="1">
      <c r="A22" s="85"/>
      <c r="B22" s="86" t="s">
        <v>65</v>
      </c>
      <c r="C22" s="87">
        <f>SUM(C8:C21)</f>
        <v>211665703.53999999</v>
      </c>
      <c r="D22" s="87">
        <f t="shared" ref="D22:J22" si="1">SUM(D8:D21)</f>
        <v>0</v>
      </c>
      <c r="E22" s="87">
        <f t="shared" si="1"/>
        <v>56985224.159999996</v>
      </c>
      <c r="F22" s="87">
        <f t="shared" si="1"/>
        <v>0</v>
      </c>
      <c r="G22" s="87">
        <f t="shared" si="1"/>
        <v>94486463.592343926</v>
      </c>
      <c r="H22" s="87">
        <f t="shared" si="1"/>
        <v>0</v>
      </c>
      <c r="I22" s="87">
        <f t="shared" si="1"/>
        <v>45927032.269999996</v>
      </c>
      <c r="J22" s="87">
        <f t="shared" si="1"/>
        <v>0</v>
      </c>
      <c r="K22" s="87">
        <f t="shared" ref="K22:S22" si="2">SUM(K8:K21)</f>
        <v>1713527734.9573371</v>
      </c>
      <c r="L22" s="87">
        <f t="shared" si="2"/>
        <v>19616515.489999998</v>
      </c>
      <c r="M22" s="87">
        <f t="shared" si="2"/>
        <v>135964947.85975415</v>
      </c>
      <c r="N22" s="87">
        <f t="shared" si="2"/>
        <v>1475185.5</v>
      </c>
      <c r="O22" s="87">
        <f t="shared" si="2"/>
        <v>3507898.9092683196</v>
      </c>
      <c r="P22" s="87">
        <f t="shared" si="2"/>
        <v>0</v>
      </c>
      <c r="Q22" s="87">
        <f t="shared" si="2"/>
        <v>0</v>
      </c>
      <c r="R22" s="87">
        <f t="shared" si="2"/>
        <v>0</v>
      </c>
      <c r="S22" s="200">
        <f t="shared" si="2"/>
        <v>1509990992.7834797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B9" sqref="B9"/>
      <selection pane="topRight" activeCell="B9" sqref="B9"/>
      <selection pane="bottomLeft" activeCell="B9" sqref="B9"/>
      <selection pane="bottomRight" activeCell="B2" sqref="B2"/>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6"/>
  </cols>
  <sheetData>
    <row r="1" spans="1:22">
      <c r="A1" s="2" t="s">
        <v>31</v>
      </c>
      <c r="B1" s="3" t="str">
        <f>'Info '!C2</f>
        <v>JSC "CREDOBANK"</v>
      </c>
    </row>
    <row r="2" spans="1:22">
      <c r="A2" s="2" t="s">
        <v>32</v>
      </c>
      <c r="B2" s="325">
        <f>'1. key ratios '!B2</f>
        <v>45107</v>
      </c>
    </row>
    <row r="4" spans="1:22" ht="13.8" thickBot="1">
      <c r="A4" s="4" t="s">
        <v>244</v>
      </c>
      <c r="B4" s="88" t="s">
        <v>51</v>
      </c>
      <c r="V4" s="17" t="s">
        <v>36</v>
      </c>
    </row>
    <row r="5" spans="1:22" ht="12.75" customHeight="1">
      <c r="A5" s="89"/>
      <c r="B5" s="90"/>
      <c r="C5" s="741" t="s">
        <v>170</v>
      </c>
      <c r="D5" s="742"/>
      <c r="E5" s="742"/>
      <c r="F5" s="742"/>
      <c r="G5" s="742"/>
      <c r="H5" s="742"/>
      <c r="I5" s="742"/>
      <c r="J5" s="742"/>
      <c r="K5" s="742"/>
      <c r="L5" s="743"/>
      <c r="M5" s="744" t="s">
        <v>171</v>
      </c>
      <c r="N5" s="745"/>
      <c r="O5" s="745"/>
      <c r="P5" s="745"/>
      <c r="Q5" s="745"/>
      <c r="R5" s="745"/>
      <c r="S5" s="746"/>
      <c r="T5" s="749" t="s">
        <v>242</v>
      </c>
      <c r="U5" s="749" t="s">
        <v>243</v>
      </c>
      <c r="V5" s="747" t="s">
        <v>77</v>
      </c>
    </row>
    <row r="6" spans="1:22" s="46" customFormat="1" ht="105.6">
      <c r="A6" s="44"/>
      <c r="B6" s="91"/>
      <c r="C6" s="92" t="s">
        <v>66</v>
      </c>
      <c r="D6" s="164" t="s">
        <v>67</v>
      </c>
      <c r="E6" s="118" t="s">
        <v>173</v>
      </c>
      <c r="F6" s="118" t="s">
        <v>174</v>
      </c>
      <c r="G6" s="164" t="s">
        <v>177</v>
      </c>
      <c r="H6" s="164" t="s">
        <v>172</v>
      </c>
      <c r="I6" s="164" t="s">
        <v>68</v>
      </c>
      <c r="J6" s="164" t="s">
        <v>69</v>
      </c>
      <c r="K6" s="93" t="s">
        <v>70</v>
      </c>
      <c r="L6" s="94" t="s">
        <v>71</v>
      </c>
      <c r="M6" s="92" t="s">
        <v>175</v>
      </c>
      <c r="N6" s="93" t="s">
        <v>72</v>
      </c>
      <c r="O6" s="93" t="s">
        <v>73</v>
      </c>
      <c r="P6" s="93" t="s">
        <v>74</v>
      </c>
      <c r="Q6" s="93" t="s">
        <v>75</v>
      </c>
      <c r="R6" s="93" t="s">
        <v>76</v>
      </c>
      <c r="S6" s="182" t="s">
        <v>176</v>
      </c>
      <c r="T6" s="750"/>
      <c r="U6" s="750"/>
      <c r="V6" s="748"/>
    </row>
    <row r="7" spans="1:22">
      <c r="A7" s="95">
        <v>1</v>
      </c>
      <c r="B7" s="1" t="s">
        <v>52</v>
      </c>
      <c r="C7" s="96"/>
      <c r="D7" s="84"/>
      <c r="E7" s="84"/>
      <c r="F7" s="84"/>
      <c r="G7" s="84"/>
      <c r="H7" s="84"/>
      <c r="I7" s="84"/>
      <c r="J7" s="84"/>
      <c r="K7" s="84"/>
      <c r="L7" s="97"/>
      <c r="M7" s="96"/>
      <c r="N7" s="84"/>
      <c r="O7" s="84"/>
      <c r="P7" s="84"/>
      <c r="Q7" s="84"/>
      <c r="R7" s="84"/>
      <c r="S7" s="97"/>
      <c r="T7" s="190"/>
      <c r="U7" s="190"/>
      <c r="V7" s="98">
        <f>SUM(C7:S7)</f>
        <v>0</v>
      </c>
    </row>
    <row r="8" spans="1:22">
      <c r="A8" s="95">
        <v>2</v>
      </c>
      <c r="B8" s="1" t="s">
        <v>53</v>
      </c>
      <c r="C8" s="96"/>
      <c r="D8" s="84"/>
      <c r="E8" s="84"/>
      <c r="F8" s="84"/>
      <c r="G8" s="84"/>
      <c r="H8" s="84"/>
      <c r="I8" s="84"/>
      <c r="J8" s="84"/>
      <c r="K8" s="84"/>
      <c r="L8" s="97"/>
      <c r="M8" s="96"/>
      <c r="N8" s="84"/>
      <c r="O8" s="84"/>
      <c r="P8" s="84"/>
      <c r="Q8" s="84"/>
      <c r="R8" s="84"/>
      <c r="S8" s="97"/>
      <c r="T8" s="190"/>
      <c r="U8" s="190"/>
      <c r="V8" s="98">
        <f t="shared" ref="V8:V20" si="0">SUM(C8:S8)</f>
        <v>0</v>
      </c>
    </row>
    <row r="9" spans="1:22">
      <c r="A9" s="95">
        <v>3</v>
      </c>
      <c r="B9" s="1" t="s">
        <v>166</v>
      </c>
      <c r="C9" s="96"/>
      <c r="D9" s="84"/>
      <c r="E9" s="84"/>
      <c r="F9" s="84"/>
      <c r="G9" s="84"/>
      <c r="H9" s="84"/>
      <c r="I9" s="84"/>
      <c r="J9" s="84"/>
      <c r="K9" s="84"/>
      <c r="L9" s="97"/>
      <c r="M9" s="96"/>
      <c r="N9" s="84"/>
      <c r="O9" s="84"/>
      <c r="P9" s="84"/>
      <c r="Q9" s="84"/>
      <c r="R9" s="84"/>
      <c r="S9" s="97"/>
      <c r="T9" s="190"/>
      <c r="U9" s="190"/>
      <c r="V9" s="98">
        <f t="shared" si="0"/>
        <v>0</v>
      </c>
    </row>
    <row r="10" spans="1:22">
      <c r="A10" s="95">
        <v>4</v>
      </c>
      <c r="B10" s="1" t="s">
        <v>54</v>
      </c>
      <c r="C10" s="96"/>
      <c r="D10" s="84"/>
      <c r="E10" s="84"/>
      <c r="F10" s="84"/>
      <c r="G10" s="84"/>
      <c r="H10" s="84"/>
      <c r="I10" s="84"/>
      <c r="J10" s="84"/>
      <c r="K10" s="84"/>
      <c r="L10" s="97"/>
      <c r="M10" s="96"/>
      <c r="N10" s="84"/>
      <c r="O10" s="84"/>
      <c r="P10" s="84"/>
      <c r="Q10" s="84"/>
      <c r="R10" s="84"/>
      <c r="S10" s="97"/>
      <c r="T10" s="190"/>
      <c r="U10" s="190"/>
      <c r="V10" s="98">
        <f t="shared" si="0"/>
        <v>0</v>
      </c>
    </row>
    <row r="11" spans="1:22">
      <c r="A11" s="95">
        <v>5</v>
      </c>
      <c r="B11" s="1" t="s">
        <v>55</v>
      </c>
      <c r="C11" s="96"/>
      <c r="D11" s="84"/>
      <c r="E11" s="84"/>
      <c r="F11" s="84"/>
      <c r="G11" s="84"/>
      <c r="H11" s="84"/>
      <c r="I11" s="84"/>
      <c r="J11" s="84"/>
      <c r="K11" s="84"/>
      <c r="L11" s="97"/>
      <c r="M11" s="96"/>
      <c r="N11" s="84"/>
      <c r="O11" s="84"/>
      <c r="P11" s="84"/>
      <c r="Q11" s="84"/>
      <c r="R11" s="84"/>
      <c r="S11" s="97"/>
      <c r="T11" s="190"/>
      <c r="U11" s="190"/>
      <c r="V11" s="98">
        <f t="shared" si="0"/>
        <v>0</v>
      </c>
    </row>
    <row r="12" spans="1:22">
      <c r="A12" s="95">
        <v>6</v>
      </c>
      <c r="B12" s="1" t="s">
        <v>56</v>
      </c>
      <c r="C12" s="96"/>
      <c r="D12" s="84"/>
      <c r="E12" s="84"/>
      <c r="F12" s="84"/>
      <c r="G12" s="84"/>
      <c r="H12" s="84"/>
      <c r="I12" s="84"/>
      <c r="J12" s="84"/>
      <c r="K12" s="84"/>
      <c r="L12" s="97"/>
      <c r="M12" s="96"/>
      <c r="N12" s="84"/>
      <c r="O12" s="84"/>
      <c r="P12" s="84"/>
      <c r="Q12" s="84"/>
      <c r="R12" s="84"/>
      <c r="S12" s="97"/>
      <c r="T12" s="190"/>
      <c r="U12" s="190"/>
      <c r="V12" s="98">
        <f t="shared" si="0"/>
        <v>0</v>
      </c>
    </row>
    <row r="13" spans="1:22">
      <c r="A13" s="95">
        <v>7</v>
      </c>
      <c r="B13" s="1" t="s">
        <v>57</v>
      </c>
      <c r="C13" s="96"/>
      <c r="D13" s="84"/>
      <c r="E13" s="84"/>
      <c r="F13" s="84"/>
      <c r="G13" s="84"/>
      <c r="H13" s="84"/>
      <c r="I13" s="84"/>
      <c r="J13" s="84"/>
      <c r="K13" s="84"/>
      <c r="L13" s="97"/>
      <c r="M13" s="96"/>
      <c r="N13" s="84"/>
      <c r="O13" s="84"/>
      <c r="P13" s="84"/>
      <c r="Q13" s="84"/>
      <c r="R13" s="84"/>
      <c r="S13" s="97"/>
      <c r="T13" s="190"/>
      <c r="U13" s="190"/>
      <c r="V13" s="98">
        <f t="shared" si="0"/>
        <v>0</v>
      </c>
    </row>
    <row r="14" spans="1:22">
      <c r="A14" s="95">
        <v>8</v>
      </c>
      <c r="B14" s="1" t="s">
        <v>58</v>
      </c>
      <c r="C14" s="96"/>
      <c r="D14" s="84"/>
      <c r="E14" s="84"/>
      <c r="F14" s="84"/>
      <c r="G14" s="84"/>
      <c r="H14" s="84"/>
      <c r="I14" s="84"/>
      <c r="J14" s="84"/>
      <c r="K14" s="84"/>
      <c r="L14" s="97"/>
      <c r="M14" s="96"/>
      <c r="N14" s="84"/>
      <c r="O14" s="84"/>
      <c r="P14" s="84"/>
      <c r="Q14" s="84"/>
      <c r="R14" s="84"/>
      <c r="S14" s="97"/>
      <c r="T14" s="190"/>
      <c r="U14" s="190"/>
      <c r="V14" s="98">
        <f t="shared" si="0"/>
        <v>0</v>
      </c>
    </row>
    <row r="15" spans="1:22">
      <c r="A15" s="95">
        <v>9</v>
      </c>
      <c r="B15" s="1" t="s">
        <v>59</v>
      </c>
      <c r="C15" s="96"/>
      <c r="D15" s="84"/>
      <c r="E15" s="84"/>
      <c r="F15" s="84"/>
      <c r="G15" s="84"/>
      <c r="H15" s="84"/>
      <c r="I15" s="84"/>
      <c r="J15" s="84"/>
      <c r="K15" s="84"/>
      <c r="L15" s="97"/>
      <c r="M15" s="96"/>
      <c r="N15" s="84"/>
      <c r="O15" s="84"/>
      <c r="P15" s="84"/>
      <c r="Q15" s="84"/>
      <c r="R15" s="84"/>
      <c r="S15" s="97"/>
      <c r="T15" s="190"/>
      <c r="U15" s="190"/>
      <c r="V15" s="98">
        <f t="shared" si="0"/>
        <v>0</v>
      </c>
    </row>
    <row r="16" spans="1:22">
      <c r="A16" s="95">
        <v>10</v>
      </c>
      <c r="B16" s="1" t="s">
        <v>60</v>
      </c>
      <c r="C16" s="96"/>
      <c r="D16" s="84"/>
      <c r="E16" s="84"/>
      <c r="F16" s="84"/>
      <c r="G16" s="84"/>
      <c r="H16" s="84"/>
      <c r="I16" s="84"/>
      <c r="J16" s="84"/>
      <c r="K16" s="84"/>
      <c r="L16" s="97"/>
      <c r="M16" s="96"/>
      <c r="N16" s="84"/>
      <c r="O16" s="84"/>
      <c r="P16" s="84"/>
      <c r="Q16" s="84"/>
      <c r="R16" s="84"/>
      <c r="S16" s="97"/>
      <c r="T16" s="190"/>
      <c r="U16" s="190"/>
      <c r="V16" s="98">
        <f t="shared" si="0"/>
        <v>0</v>
      </c>
    </row>
    <row r="17" spans="1:22">
      <c r="A17" s="95">
        <v>11</v>
      </c>
      <c r="B17" s="1" t="s">
        <v>61</v>
      </c>
      <c r="C17" s="96"/>
      <c r="D17" s="84"/>
      <c r="E17" s="84"/>
      <c r="F17" s="84"/>
      <c r="G17" s="84"/>
      <c r="H17" s="84"/>
      <c r="I17" s="84"/>
      <c r="J17" s="84"/>
      <c r="K17" s="84"/>
      <c r="L17" s="97"/>
      <c r="M17" s="96"/>
      <c r="N17" s="84"/>
      <c r="O17" s="84"/>
      <c r="P17" s="84"/>
      <c r="Q17" s="84"/>
      <c r="R17" s="84"/>
      <c r="S17" s="97"/>
      <c r="T17" s="190"/>
      <c r="U17" s="190"/>
      <c r="V17" s="98">
        <f t="shared" si="0"/>
        <v>0</v>
      </c>
    </row>
    <row r="18" spans="1:22">
      <c r="A18" s="95">
        <v>12</v>
      </c>
      <c r="B18" s="1" t="s">
        <v>62</v>
      </c>
      <c r="C18" s="96"/>
      <c r="D18" s="84"/>
      <c r="E18" s="84"/>
      <c r="F18" s="84"/>
      <c r="G18" s="84"/>
      <c r="H18" s="84"/>
      <c r="I18" s="84"/>
      <c r="J18" s="84"/>
      <c r="K18" s="84"/>
      <c r="L18" s="97"/>
      <c r="M18" s="96"/>
      <c r="N18" s="84"/>
      <c r="O18" s="84"/>
      <c r="P18" s="84"/>
      <c r="Q18" s="84"/>
      <c r="R18" s="84"/>
      <c r="S18" s="97"/>
      <c r="T18" s="190"/>
      <c r="U18" s="190"/>
      <c r="V18" s="98">
        <f t="shared" si="0"/>
        <v>0</v>
      </c>
    </row>
    <row r="19" spans="1:22">
      <c r="A19" s="95">
        <v>13</v>
      </c>
      <c r="B19" s="1" t="s">
        <v>63</v>
      </c>
      <c r="C19" s="96"/>
      <c r="D19" s="84"/>
      <c r="E19" s="84"/>
      <c r="F19" s="84"/>
      <c r="G19" s="84"/>
      <c r="H19" s="84"/>
      <c r="I19" s="84"/>
      <c r="J19" s="84"/>
      <c r="K19" s="84"/>
      <c r="L19" s="97"/>
      <c r="M19" s="96"/>
      <c r="N19" s="84"/>
      <c r="O19" s="84"/>
      <c r="P19" s="84"/>
      <c r="Q19" s="84"/>
      <c r="R19" s="84"/>
      <c r="S19" s="97"/>
      <c r="T19" s="190"/>
      <c r="U19" s="190"/>
      <c r="V19" s="98">
        <f t="shared" si="0"/>
        <v>0</v>
      </c>
    </row>
    <row r="20" spans="1:22">
      <c r="A20" s="95">
        <v>14</v>
      </c>
      <c r="B20" s="1" t="s">
        <v>64</v>
      </c>
      <c r="C20" s="96"/>
      <c r="D20" s="84"/>
      <c r="E20" s="84"/>
      <c r="F20" s="84"/>
      <c r="G20" s="84"/>
      <c r="H20" s="84"/>
      <c r="I20" s="84"/>
      <c r="J20" s="84"/>
      <c r="K20" s="84"/>
      <c r="L20" s="97"/>
      <c r="M20" s="96"/>
      <c r="N20" s="84"/>
      <c r="O20" s="84"/>
      <c r="P20" s="84"/>
      <c r="Q20" s="84"/>
      <c r="R20" s="84"/>
      <c r="S20" s="97"/>
      <c r="T20" s="190"/>
      <c r="U20" s="190"/>
      <c r="V20" s="98">
        <f t="shared" si="0"/>
        <v>0</v>
      </c>
    </row>
    <row r="21" spans="1:22" ht="13.8" thickBot="1">
      <c r="A21" s="85"/>
      <c r="B21" s="99" t="s">
        <v>65</v>
      </c>
      <c r="C21" s="100">
        <f>SUM(C7:C20)</f>
        <v>0</v>
      </c>
      <c r="D21" s="87">
        <f t="shared" ref="D21:V21" si="1">SUM(D7:D20)</f>
        <v>0</v>
      </c>
      <c r="E21" s="87">
        <f t="shared" si="1"/>
        <v>0</v>
      </c>
      <c r="F21" s="87">
        <f t="shared" si="1"/>
        <v>0</v>
      </c>
      <c r="G21" s="87">
        <f t="shared" si="1"/>
        <v>0</v>
      </c>
      <c r="H21" s="87">
        <f t="shared" si="1"/>
        <v>0</v>
      </c>
      <c r="I21" s="87">
        <f t="shared" si="1"/>
        <v>0</v>
      </c>
      <c r="J21" s="87">
        <f t="shared" si="1"/>
        <v>0</v>
      </c>
      <c r="K21" s="87">
        <f t="shared" si="1"/>
        <v>0</v>
      </c>
      <c r="L21" s="101">
        <f t="shared" si="1"/>
        <v>0</v>
      </c>
      <c r="M21" s="100">
        <f t="shared" si="1"/>
        <v>0</v>
      </c>
      <c r="N21" s="87">
        <f t="shared" si="1"/>
        <v>0</v>
      </c>
      <c r="O21" s="87">
        <f t="shared" si="1"/>
        <v>0</v>
      </c>
      <c r="P21" s="87">
        <f t="shared" si="1"/>
        <v>0</v>
      </c>
      <c r="Q21" s="87">
        <f t="shared" si="1"/>
        <v>0</v>
      </c>
      <c r="R21" s="87">
        <f t="shared" si="1"/>
        <v>0</v>
      </c>
      <c r="S21" s="101">
        <f>SUM(S7:S20)</f>
        <v>0</v>
      </c>
      <c r="T21" s="101">
        <f>SUM(T7:T20)</f>
        <v>0</v>
      </c>
      <c r="U21" s="101">
        <f t="shared" ref="U21" si="2">SUM(U7:U20)</f>
        <v>0</v>
      </c>
      <c r="V21" s="102">
        <f t="shared" si="1"/>
        <v>0</v>
      </c>
    </row>
    <row r="24" spans="1:22">
      <c r="C24" s="24"/>
      <c r="D24" s="24"/>
      <c r="E24" s="24"/>
    </row>
    <row r="25" spans="1:22">
      <c r="A25" s="43"/>
      <c r="B25" s="43"/>
      <c r="D25" s="24"/>
      <c r="E25" s="24"/>
    </row>
    <row r="26" spans="1:22">
      <c r="A26" s="43"/>
      <c r="B26" s="25"/>
      <c r="D26" s="24"/>
      <c r="E26" s="24"/>
    </row>
    <row r="27" spans="1:22">
      <c r="A27" s="43"/>
      <c r="B27" s="43"/>
      <c r="D27" s="24"/>
      <c r="E27" s="24"/>
    </row>
    <row r="28" spans="1:22">
      <c r="A28" s="43"/>
      <c r="B28" s="25"/>
      <c r="D28" s="24"/>
      <c r="E28" s="2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C8" sqref="C8:G21"/>
    </sheetView>
  </sheetViews>
  <sheetFormatPr defaultColWidth="9.21875" defaultRowHeight="13.8"/>
  <cols>
    <col min="1" max="1" width="10.5546875" style="4" bestFit="1" customWidth="1"/>
    <col min="2" max="2" width="101.77734375" style="4" customWidth="1"/>
    <col min="3" max="3" width="13.77734375" style="169" customWidth="1"/>
    <col min="4" max="4" width="14.77734375" style="169" bestFit="1" customWidth="1"/>
    <col min="5" max="5" width="17.77734375" style="169" customWidth="1"/>
    <col min="6" max="6" width="15.77734375" style="169" customWidth="1"/>
    <col min="7" max="7" width="17.44140625" style="169" customWidth="1"/>
    <col min="8" max="8" width="15.21875" style="169" customWidth="1"/>
    <col min="9" max="16384" width="9.21875" style="16"/>
  </cols>
  <sheetData>
    <row r="1" spans="1:9">
      <c r="A1" s="2" t="s">
        <v>31</v>
      </c>
      <c r="B1" s="4" t="str">
        <f>'Info '!C2</f>
        <v>JSC "CREDOBANK"</v>
      </c>
      <c r="C1" s="3"/>
    </row>
    <row r="2" spans="1:9">
      <c r="A2" s="2" t="s">
        <v>32</v>
      </c>
      <c r="B2" s="325">
        <f>'1. key ratios '!B2</f>
        <v>45107</v>
      </c>
      <c r="C2" s="325"/>
    </row>
    <row r="4" spans="1:9" ht="14.4" thickBot="1">
      <c r="A4" s="2" t="s">
        <v>151</v>
      </c>
      <c r="B4" s="88" t="s">
        <v>253</v>
      </c>
    </row>
    <row r="5" spans="1:9">
      <c r="A5" s="89"/>
      <c r="B5" s="103"/>
      <c r="C5" s="191" t="s">
        <v>0</v>
      </c>
      <c r="D5" s="191" t="s">
        <v>1</v>
      </c>
      <c r="E5" s="191" t="s">
        <v>2</v>
      </c>
      <c r="F5" s="191" t="s">
        <v>3</v>
      </c>
      <c r="G5" s="192" t="s">
        <v>4</v>
      </c>
      <c r="H5" s="193" t="s">
        <v>6</v>
      </c>
      <c r="I5" s="104"/>
    </row>
    <row r="6" spans="1:9" s="104" customFormat="1" ht="12.75" customHeight="1">
      <c r="A6" s="105"/>
      <c r="B6" s="753" t="s">
        <v>150</v>
      </c>
      <c r="C6" s="739" t="s">
        <v>246</v>
      </c>
      <c r="D6" s="755" t="s">
        <v>245</v>
      </c>
      <c r="E6" s="756"/>
      <c r="F6" s="739" t="s">
        <v>250</v>
      </c>
      <c r="G6" s="739" t="s">
        <v>251</v>
      </c>
      <c r="H6" s="751" t="s">
        <v>249</v>
      </c>
    </row>
    <row r="7" spans="1:9" ht="41.4">
      <c r="A7" s="107"/>
      <c r="B7" s="754"/>
      <c r="C7" s="740"/>
      <c r="D7" s="194" t="s">
        <v>248</v>
      </c>
      <c r="E7" s="194" t="s">
        <v>247</v>
      </c>
      <c r="F7" s="740"/>
      <c r="G7" s="740"/>
      <c r="H7" s="752"/>
      <c r="I7" s="104"/>
    </row>
    <row r="8" spans="1:9">
      <c r="A8" s="105">
        <v>1</v>
      </c>
      <c r="B8" s="1" t="s">
        <v>52</v>
      </c>
      <c r="C8" s="620">
        <v>142023574.06</v>
      </c>
      <c r="D8" s="620"/>
      <c r="E8" s="620"/>
      <c r="F8" s="620">
        <v>33909903.859999999</v>
      </c>
      <c r="G8" s="621">
        <v>33909903.859999999</v>
      </c>
      <c r="H8" s="196">
        <f>IFERROR(G8/(C8+E8),"")</f>
        <v>0.23876250182011508</v>
      </c>
    </row>
    <row r="9" spans="1:9" ht="15" customHeight="1">
      <c r="A9" s="105">
        <v>2</v>
      </c>
      <c r="B9" s="1" t="s">
        <v>53</v>
      </c>
      <c r="C9" s="620"/>
      <c r="D9" s="620"/>
      <c r="E9" s="620"/>
      <c r="F9" s="620"/>
      <c r="G9" s="621"/>
      <c r="H9" s="196" t="str">
        <f t="shared" ref="H9:H21" si="0">IFERROR(G9/(C9+E9),"")</f>
        <v/>
      </c>
    </row>
    <row r="10" spans="1:9">
      <c r="A10" s="105">
        <v>3</v>
      </c>
      <c r="B10" s="1" t="s">
        <v>166</v>
      </c>
      <c r="C10" s="620">
        <v>26125726.030000001</v>
      </c>
      <c r="D10" s="620"/>
      <c r="E10" s="620"/>
      <c r="F10" s="620">
        <v>0</v>
      </c>
      <c r="G10" s="621">
        <v>0</v>
      </c>
      <c r="H10" s="196">
        <f t="shared" si="0"/>
        <v>0</v>
      </c>
    </row>
    <row r="11" spans="1:9">
      <c r="A11" s="105">
        <v>4</v>
      </c>
      <c r="B11" s="1" t="s">
        <v>54</v>
      </c>
      <c r="C11" s="620"/>
      <c r="D11" s="620"/>
      <c r="E11" s="620"/>
      <c r="F11" s="620"/>
      <c r="G11" s="621"/>
      <c r="H11" s="196" t="str">
        <f t="shared" si="0"/>
        <v/>
      </c>
    </row>
    <row r="12" spans="1:9">
      <c r="A12" s="105">
        <v>5</v>
      </c>
      <c r="B12" s="1" t="s">
        <v>55</v>
      </c>
      <c r="C12" s="620"/>
      <c r="D12" s="620"/>
      <c r="E12" s="620"/>
      <c r="F12" s="620"/>
      <c r="G12" s="621"/>
      <c r="H12" s="196" t="str">
        <f t="shared" si="0"/>
        <v/>
      </c>
    </row>
    <row r="13" spans="1:9">
      <c r="A13" s="105">
        <v>6</v>
      </c>
      <c r="B13" s="1" t="s">
        <v>56</v>
      </c>
      <c r="C13" s="620">
        <v>102925233.16</v>
      </c>
      <c r="D13" s="620"/>
      <c r="E13" s="620"/>
      <c r="F13" s="620">
        <v>34373537.696999997</v>
      </c>
      <c r="G13" s="621">
        <v>34373537.696999997</v>
      </c>
      <c r="H13" s="196">
        <f t="shared" si="0"/>
        <v>0.33396609015755568</v>
      </c>
    </row>
    <row r="14" spans="1:9">
      <c r="A14" s="105">
        <v>7</v>
      </c>
      <c r="B14" s="1" t="s">
        <v>57</v>
      </c>
      <c r="C14" s="620">
        <v>24551204.726028483</v>
      </c>
      <c r="D14" s="620">
        <v>2950372</v>
      </c>
      <c r="E14" s="620">
        <v>1475185.5</v>
      </c>
      <c r="F14" s="620">
        <v>26026390.226028483</v>
      </c>
      <c r="G14" s="621">
        <v>26026390.226028483</v>
      </c>
      <c r="H14" s="196">
        <f t="shared" si="0"/>
        <v>1</v>
      </c>
    </row>
    <row r="15" spans="1:9">
      <c r="A15" s="105">
        <v>8</v>
      </c>
      <c r="B15" s="1" t="s">
        <v>58</v>
      </c>
      <c r="C15" s="620">
        <v>1713527734.9573371</v>
      </c>
      <c r="D15" s="620">
        <v>41102499.439999998</v>
      </c>
      <c r="E15" s="620">
        <v>19616515</v>
      </c>
      <c r="F15" s="620">
        <v>1299858187.8355029</v>
      </c>
      <c r="G15" s="621">
        <v>1299858187.8355029</v>
      </c>
      <c r="H15" s="196">
        <f t="shared" si="0"/>
        <v>0.75000000021204238</v>
      </c>
    </row>
    <row r="16" spans="1:9">
      <c r="A16" s="105">
        <v>9</v>
      </c>
      <c r="B16" s="1" t="s">
        <v>59</v>
      </c>
      <c r="C16" s="620">
        <v>94486463.592343926</v>
      </c>
      <c r="D16" s="620"/>
      <c r="E16" s="620"/>
      <c r="F16" s="620">
        <v>33070262.257320371</v>
      </c>
      <c r="G16" s="621">
        <v>33070262.257320371</v>
      </c>
      <c r="H16" s="196">
        <f t="shared" si="0"/>
        <v>0.35</v>
      </c>
    </row>
    <row r="17" spans="1:8">
      <c r="A17" s="105">
        <v>10</v>
      </c>
      <c r="B17" s="1" t="s">
        <v>60</v>
      </c>
      <c r="C17" s="620">
        <v>6038158.3129940014</v>
      </c>
      <c r="D17" s="620"/>
      <c r="E17" s="620"/>
      <c r="F17" s="620">
        <v>7792107.7676281612</v>
      </c>
      <c r="G17" s="621">
        <v>7792107.7676281612</v>
      </c>
      <c r="H17" s="196">
        <f t="shared" si="0"/>
        <v>1.290477553538087</v>
      </c>
    </row>
    <row r="18" spans="1:8">
      <c r="A18" s="105">
        <v>11</v>
      </c>
      <c r="B18" s="1" t="s">
        <v>61</v>
      </c>
      <c r="C18" s="620"/>
      <c r="D18" s="620"/>
      <c r="E18" s="620"/>
      <c r="F18" s="620"/>
      <c r="G18" s="621"/>
      <c r="H18" s="196" t="str">
        <f t="shared" si="0"/>
        <v/>
      </c>
    </row>
    <row r="19" spans="1:8">
      <c r="A19" s="105">
        <v>12</v>
      </c>
      <c r="B19" s="1" t="s">
        <v>62</v>
      </c>
      <c r="C19" s="620"/>
      <c r="D19" s="620"/>
      <c r="E19" s="620"/>
      <c r="F19" s="620"/>
      <c r="G19" s="621"/>
      <c r="H19" s="196" t="str">
        <f t="shared" si="0"/>
        <v/>
      </c>
    </row>
    <row r="20" spans="1:8">
      <c r="A20" s="105">
        <v>13</v>
      </c>
      <c r="B20" s="1" t="s">
        <v>145</v>
      </c>
      <c r="C20" s="620"/>
      <c r="D20" s="620"/>
      <c r="E20" s="620"/>
      <c r="F20" s="620"/>
      <c r="G20" s="621"/>
      <c r="H20" s="196" t="str">
        <f t="shared" si="0"/>
        <v/>
      </c>
    </row>
    <row r="21" spans="1:8">
      <c r="A21" s="105">
        <v>14</v>
      </c>
      <c r="B21" s="1" t="s">
        <v>64</v>
      </c>
      <c r="C21" s="620">
        <v>152386910.44999999</v>
      </c>
      <c r="D21" s="620"/>
      <c r="E21" s="620"/>
      <c r="F21" s="620">
        <v>74960603.139999986</v>
      </c>
      <c r="G21" s="621">
        <v>74960603.139999986</v>
      </c>
      <c r="H21" s="196">
        <f t="shared" si="0"/>
        <v>0.49190972452056819</v>
      </c>
    </row>
    <row r="22" spans="1:8" ht="14.4" thickBot="1">
      <c r="A22" s="108"/>
      <c r="B22" s="109" t="s">
        <v>65</v>
      </c>
      <c r="C22" s="195">
        <f>SUM(C8:C21)</f>
        <v>2262065005.2887034</v>
      </c>
      <c r="D22" s="195">
        <f>SUM(D8:D21)</f>
        <v>44052871.439999998</v>
      </c>
      <c r="E22" s="195">
        <f>SUM(E8:E21)</f>
        <v>21091700.5</v>
      </c>
      <c r="F22" s="195">
        <f>SUM(F8:F21)</f>
        <v>1509990992.7834797</v>
      </c>
      <c r="G22" s="195">
        <f>SUM(G8:G21)</f>
        <v>1509990992.7834797</v>
      </c>
      <c r="H22" s="197">
        <f>G22/(C22+E22)</f>
        <v>0.66136108351873368</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80" zoomScaleNormal="80" workbookViewId="0">
      <pane xSplit="2" ySplit="6" topLeftCell="C7" activePane="bottomRight" state="frozen"/>
      <selection pane="topRight" activeCell="C1" sqref="C1"/>
      <selection pane="bottomLeft" activeCell="A6" sqref="A6"/>
      <selection pane="bottomRight" activeCell="I19" sqref="I19:J19"/>
    </sheetView>
  </sheetViews>
  <sheetFormatPr defaultColWidth="9.21875" defaultRowHeight="13.8"/>
  <cols>
    <col min="1" max="1" width="10.5546875" style="169" bestFit="1" customWidth="1"/>
    <col min="2" max="2" width="104.21875" style="169" customWidth="1"/>
    <col min="3" max="11" width="12.77734375" style="169" customWidth="1"/>
    <col min="12" max="16384" width="9.21875" style="169"/>
  </cols>
  <sheetData>
    <row r="1" spans="1:11">
      <c r="A1" s="169" t="s">
        <v>31</v>
      </c>
      <c r="B1" s="3" t="str">
        <f>'Info '!C2</f>
        <v>JSC "CREDOBANK"</v>
      </c>
    </row>
    <row r="2" spans="1:11">
      <c r="A2" s="169" t="s">
        <v>32</v>
      </c>
      <c r="B2" s="325">
        <f>'1. key ratios '!B2</f>
        <v>45107</v>
      </c>
    </row>
    <row r="4" spans="1:11" ht="14.4" thickBot="1">
      <c r="A4" s="169" t="s">
        <v>147</v>
      </c>
      <c r="B4" s="235" t="s">
        <v>254</v>
      </c>
    </row>
    <row r="5" spans="1:11" ht="30" customHeight="1">
      <c r="A5" s="757"/>
      <c r="B5" s="758"/>
      <c r="C5" s="759" t="s">
        <v>306</v>
      </c>
      <c r="D5" s="759"/>
      <c r="E5" s="759"/>
      <c r="F5" s="759" t="s">
        <v>307</v>
      </c>
      <c r="G5" s="759"/>
      <c r="H5" s="759"/>
      <c r="I5" s="759" t="s">
        <v>308</v>
      </c>
      <c r="J5" s="759"/>
      <c r="K5" s="760"/>
    </row>
    <row r="6" spans="1:11">
      <c r="A6" s="208"/>
      <c r="B6" s="209"/>
      <c r="C6" s="18" t="s">
        <v>33</v>
      </c>
      <c r="D6" s="18" t="s">
        <v>34</v>
      </c>
      <c r="E6" s="18" t="s">
        <v>35</v>
      </c>
      <c r="F6" s="18" t="s">
        <v>33</v>
      </c>
      <c r="G6" s="18" t="s">
        <v>34</v>
      </c>
      <c r="H6" s="18" t="s">
        <v>35</v>
      </c>
      <c r="I6" s="18" t="s">
        <v>33</v>
      </c>
      <c r="J6" s="18" t="s">
        <v>34</v>
      </c>
      <c r="K6" s="18" t="s">
        <v>35</v>
      </c>
    </row>
    <row r="7" spans="1:11">
      <c r="A7" s="210" t="s">
        <v>257</v>
      </c>
      <c r="B7" s="211"/>
      <c r="C7" s="211"/>
      <c r="D7" s="211"/>
      <c r="E7" s="211"/>
      <c r="F7" s="211"/>
      <c r="G7" s="211"/>
      <c r="H7" s="211"/>
      <c r="I7" s="211"/>
      <c r="J7" s="211"/>
      <c r="K7" s="212"/>
    </row>
    <row r="8" spans="1:11">
      <c r="A8" s="213">
        <v>1</v>
      </c>
      <c r="B8" s="214" t="s">
        <v>255</v>
      </c>
      <c r="C8" s="215"/>
      <c r="D8" s="215"/>
      <c r="E8" s="215"/>
      <c r="F8" s="631">
        <v>88504194.308087558</v>
      </c>
      <c r="G8" s="631">
        <v>161727800.46118227</v>
      </c>
      <c r="H8" s="632">
        <f>F8+G8</f>
        <v>250231994.76926982</v>
      </c>
      <c r="I8" s="631">
        <v>102849893.72347923</v>
      </c>
      <c r="J8" s="631">
        <v>60833815.466950856</v>
      </c>
      <c r="K8" s="633">
        <f>I8+J8</f>
        <v>163683709.19043007</v>
      </c>
    </row>
    <row r="9" spans="1:11">
      <c r="A9" s="210" t="s">
        <v>258</v>
      </c>
      <c r="B9" s="211"/>
      <c r="C9" s="211"/>
      <c r="D9" s="211"/>
      <c r="E9" s="211"/>
      <c r="F9" s="211"/>
      <c r="G9" s="211"/>
      <c r="H9" s="211"/>
      <c r="I9" s="211"/>
      <c r="J9" s="211"/>
      <c r="K9" s="212"/>
    </row>
    <row r="10" spans="1:11">
      <c r="A10" s="216">
        <v>2</v>
      </c>
      <c r="B10" s="217" t="s">
        <v>266</v>
      </c>
      <c r="C10" s="622">
        <v>196217468.68952605</v>
      </c>
      <c r="D10" s="623">
        <v>185649011.37115622</v>
      </c>
      <c r="E10" s="624">
        <f>C10+D10</f>
        <v>381866480.0606823</v>
      </c>
      <c r="F10" s="623">
        <v>47844541.400798917</v>
      </c>
      <c r="G10" s="623">
        <v>48167819.964927174</v>
      </c>
      <c r="H10" s="624">
        <f>F10+G10</f>
        <v>96012361.365726084</v>
      </c>
      <c r="I10" s="623">
        <v>9810873.4344763011</v>
      </c>
      <c r="J10" s="623">
        <v>9282450.5685578119</v>
      </c>
      <c r="K10" s="625">
        <f>I10+J10</f>
        <v>19093324.003034115</v>
      </c>
    </row>
    <row r="11" spans="1:11">
      <c r="A11" s="216">
        <v>3</v>
      </c>
      <c r="B11" s="217" t="s">
        <v>260</v>
      </c>
      <c r="C11" s="622">
        <v>114535960.85929145</v>
      </c>
      <c r="D11" s="623">
        <v>14078019.212102305</v>
      </c>
      <c r="E11" s="624">
        <f t="shared" ref="E11:E15" si="0">C11+D11</f>
        <v>128613980.07139376</v>
      </c>
      <c r="F11" s="623">
        <v>54832053.533797309</v>
      </c>
      <c r="G11" s="623">
        <v>6819234.1091306256</v>
      </c>
      <c r="H11" s="624">
        <f t="shared" ref="H11:H15" si="1">F11+G11</f>
        <v>61651287.642927937</v>
      </c>
      <c r="I11" s="623">
        <v>49466334.024191245</v>
      </c>
      <c r="J11" s="623">
        <v>6510776.2713109674</v>
      </c>
      <c r="K11" s="625">
        <f t="shared" ref="K11:K15" si="2">I11+J11</f>
        <v>55977110.295502216</v>
      </c>
    </row>
    <row r="12" spans="1:11">
      <c r="A12" s="216">
        <v>4</v>
      </c>
      <c r="B12" s="217" t="s">
        <v>261</v>
      </c>
      <c r="C12" s="622">
        <v>46051843.317972355</v>
      </c>
      <c r="D12" s="623">
        <v>0</v>
      </c>
      <c r="E12" s="624">
        <f t="shared" si="0"/>
        <v>46051843.317972355</v>
      </c>
      <c r="F12" s="623">
        <v>0</v>
      </c>
      <c r="G12" s="623">
        <v>0</v>
      </c>
      <c r="H12" s="624">
        <f t="shared" si="1"/>
        <v>0</v>
      </c>
      <c r="I12" s="623">
        <v>0</v>
      </c>
      <c r="J12" s="623">
        <v>0</v>
      </c>
      <c r="K12" s="625">
        <f t="shared" si="2"/>
        <v>0</v>
      </c>
    </row>
    <row r="13" spans="1:11">
      <c r="A13" s="216">
        <v>5</v>
      </c>
      <c r="B13" s="217" t="s">
        <v>269</v>
      </c>
      <c r="C13" s="622">
        <v>20198805.3046307</v>
      </c>
      <c r="D13" s="623">
        <v>8713303.6788118314</v>
      </c>
      <c r="E13" s="624">
        <f t="shared" si="0"/>
        <v>28912108.98344253</v>
      </c>
      <c r="F13" s="623">
        <v>6059641.59138921</v>
      </c>
      <c r="G13" s="623">
        <v>2613991.1036435491</v>
      </c>
      <c r="H13" s="624">
        <f t="shared" si="1"/>
        <v>8673632.6950327586</v>
      </c>
      <c r="I13" s="623">
        <v>1009940.2652315351</v>
      </c>
      <c r="J13" s="623">
        <v>435665.18394059158</v>
      </c>
      <c r="K13" s="625">
        <f t="shared" si="2"/>
        <v>1445605.4491721266</v>
      </c>
    </row>
    <row r="14" spans="1:11">
      <c r="A14" s="216">
        <v>6</v>
      </c>
      <c r="B14" s="217" t="s">
        <v>301</v>
      </c>
      <c r="C14" s="622"/>
      <c r="D14" s="623"/>
      <c r="E14" s="624">
        <f t="shared" si="0"/>
        <v>0</v>
      </c>
      <c r="F14" s="623">
        <v>0</v>
      </c>
      <c r="G14" s="623">
        <v>0</v>
      </c>
      <c r="H14" s="624">
        <f t="shared" si="1"/>
        <v>0</v>
      </c>
      <c r="I14" s="623">
        <v>0</v>
      </c>
      <c r="J14" s="623">
        <v>0</v>
      </c>
      <c r="K14" s="625">
        <f t="shared" si="2"/>
        <v>0</v>
      </c>
    </row>
    <row r="15" spans="1:11">
      <c r="A15" s="216">
        <v>7</v>
      </c>
      <c r="B15" s="217" t="s">
        <v>302</v>
      </c>
      <c r="C15" s="622">
        <v>6076827.1116811698</v>
      </c>
      <c r="D15" s="623">
        <v>5743308.1573711028</v>
      </c>
      <c r="E15" s="624">
        <f t="shared" si="0"/>
        <v>11820135.269052273</v>
      </c>
      <c r="F15" s="623">
        <v>6076827.1116811698</v>
      </c>
      <c r="G15" s="623">
        <v>5743308.1573711028</v>
      </c>
      <c r="H15" s="624">
        <f t="shared" si="1"/>
        <v>11820135.269052273</v>
      </c>
      <c r="I15" s="623">
        <v>6076827.1116811698</v>
      </c>
      <c r="J15" s="623">
        <v>5743308.1573711028</v>
      </c>
      <c r="K15" s="625">
        <f t="shared" si="2"/>
        <v>11820135.269052273</v>
      </c>
    </row>
    <row r="16" spans="1:11">
      <c r="A16" s="216">
        <v>8</v>
      </c>
      <c r="B16" s="219" t="s">
        <v>262</v>
      </c>
      <c r="C16" s="626">
        <f t="shared" ref="C16:K16" si="3">SUM(C10:C15)</f>
        <v>383080905.28310174</v>
      </c>
      <c r="D16" s="626">
        <f t="shared" si="3"/>
        <v>214183642.41944143</v>
      </c>
      <c r="E16" s="626">
        <f t="shared" si="3"/>
        <v>597264547.70254314</v>
      </c>
      <c r="F16" s="626">
        <f t="shared" si="3"/>
        <v>114813063.6376666</v>
      </c>
      <c r="G16" s="626">
        <f t="shared" si="3"/>
        <v>63344353.335072458</v>
      </c>
      <c r="H16" s="626">
        <f t="shared" si="3"/>
        <v>178157416.97273904</v>
      </c>
      <c r="I16" s="626">
        <f t="shared" si="3"/>
        <v>66363974.835580252</v>
      </c>
      <c r="J16" s="626">
        <f t="shared" si="3"/>
        <v>21972200.181180473</v>
      </c>
      <c r="K16" s="626">
        <f t="shared" si="3"/>
        <v>88336175.016760722</v>
      </c>
    </row>
    <row r="17" spans="1:11">
      <c r="A17" s="210" t="s">
        <v>259</v>
      </c>
      <c r="B17" s="211"/>
      <c r="C17" s="627"/>
      <c r="D17" s="627"/>
      <c r="E17" s="627"/>
      <c r="F17" s="627"/>
      <c r="G17" s="627"/>
      <c r="H17" s="627"/>
      <c r="I17" s="627"/>
      <c r="J17" s="627"/>
      <c r="K17" s="212"/>
    </row>
    <row r="18" spans="1:11">
      <c r="A18" s="216">
        <v>9</v>
      </c>
      <c r="B18" s="217" t="s">
        <v>265</v>
      </c>
      <c r="C18" s="628"/>
      <c r="D18" s="629"/>
      <c r="E18" s="629"/>
      <c r="F18" s="629"/>
      <c r="G18" s="629"/>
      <c r="H18" s="629"/>
      <c r="I18" s="629"/>
      <c r="J18" s="629"/>
      <c r="K18" s="218"/>
    </row>
    <row r="19" spans="1:11">
      <c r="A19" s="216">
        <v>10</v>
      </c>
      <c r="B19" s="217" t="s">
        <v>303</v>
      </c>
      <c r="C19" s="622">
        <v>85266448.993405148</v>
      </c>
      <c r="D19" s="623">
        <v>2587529.345101025</v>
      </c>
      <c r="E19" s="623">
        <f>C19+D19</f>
        <v>87853978.338506177</v>
      </c>
      <c r="F19" s="623">
        <v>42633224.496702574</v>
      </c>
      <c r="G19" s="623">
        <v>1293764.6725505125</v>
      </c>
      <c r="H19" s="623">
        <f>F19+G19</f>
        <v>43926989.169253089</v>
      </c>
      <c r="I19" s="623">
        <v>75884683.023883834</v>
      </c>
      <c r="J19" s="623">
        <v>98643415.551532879</v>
      </c>
      <c r="K19" s="623">
        <f>I19+J19</f>
        <v>174528098.57541671</v>
      </c>
    </row>
    <row r="20" spans="1:11">
      <c r="A20" s="216">
        <v>11</v>
      </c>
      <c r="B20" s="217" t="s">
        <v>264</v>
      </c>
      <c r="C20" s="628"/>
      <c r="D20" s="629"/>
      <c r="E20" s="629"/>
      <c r="F20" s="629"/>
      <c r="G20" s="629"/>
      <c r="H20" s="629"/>
      <c r="I20" s="629"/>
      <c r="J20" s="629"/>
      <c r="K20" s="218"/>
    </row>
    <row r="21" spans="1:11" ht="14.4" thickBot="1">
      <c r="A21" s="220">
        <v>12</v>
      </c>
      <c r="B21" s="221" t="s">
        <v>263</v>
      </c>
      <c r="C21" s="630">
        <f>SUM(C18:C20)</f>
        <v>85266448.993405148</v>
      </c>
      <c r="D21" s="630">
        <f t="shared" ref="D21:K21" si="4">SUM(D18:D20)</f>
        <v>2587529.345101025</v>
      </c>
      <c r="E21" s="630">
        <f t="shared" si="4"/>
        <v>87853978.338506177</v>
      </c>
      <c r="F21" s="630">
        <f t="shared" si="4"/>
        <v>42633224.496702574</v>
      </c>
      <c r="G21" s="630">
        <f t="shared" si="4"/>
        <v>1293764.6725505125</v>
      </c>
      <c r="H21" s="630">
        <f t="shared" si="4"/>
        <v>43926989.169253089</v>
      </c>
      <c r="I21" s="630">
        <f t="shared" si="4"/>
        <v>75884683.023883834</v>
      </c>
      <c r="J21" s="630">
        <f t="shared" si="4"/>
        <v>98643415.551532879</v>
      </c>
      <c r="K21" s="630">
        <f t="shared" si="4"/>
        <v>174528098.57541671</v>
      </c>
    </row>
    <row r="22" spans="1:11" ht="38.25" customHeight="1" thickBot="1">
      <c r="A22" s="222"/>
      <c r="B22" s="223"/>
      <c r="C22" s="223"/>
      <c r="D22" s="223"/>
      <c r="E22" s="223"/>
      <c r="F22" s="761" t="s">
        <v>305</v>
      </c>
      <c r="G22" s="759"/>
      <c r="H22" s="759"/>
      <c r="I22" s="761" t="s">
        <v>270</v>
      </c>
      <c r="J22" s="759"/>
      <c r="K22" s="760"/>
    </row>
    <row r="23" spans="1:11" ht="14.4" thickBot="1">
      <c r="A23" s="224">
        <v>13</v>
      </c>
      <c r="B23" s="225" t="s">
        <v>255</v>
      </c>
      <c r="C23" s="226"/>
      <c r="D23" s="226"/>
      <c r="E23" s="226"/>
      <c r="F23" s="634">
        <f>F8</f>
        <v>88504194.308087558</v>
      </c>
      <c r="G23" s="634">
        <f>G8</f>
        <v>161727800.46118227</v>
      </c>
      <c r="H23" s="635">
        <f>F23+G23</f>
        <v>250231994.76926982</v>
      </c>
      <c r="I23" s="634">
        <f>I8</f>
        <v>102849893.72347923</v>
      </c>
      <c r="J23" s="634">
        <f>J8</f>
        <v>60833815.466950856</v>
      </c>
      <c r="K23" s="636">
        <f>I23+J23</f>
        <v>163683709.19043007</v>
      </c>
    </row>
    <row r="24" spans="1:11" ht="14.4" thickBot="1">
      <c r="A24" s="227">
        <v>14</v>
      </c>
      <c r="B24" s="228" t="s">
        <v>267</v>
      </c>
      <c r="C24" s="229"/>
      <c r="D24" s="230"/>
      <c r="E24" s="231"/>
      <c r="F24" s="637">
        <f>MAX(F16-F21,F16*0.25)</f>
        <v>72179839.140964031</v>
      </c>
      <c r="G24" s="637">
        <f>MAX(G16-G21,G16*0.25)</f>
        <v>62050588.662521943</v>
      </c>
      <c r="H24" s="635">
        <f>F24+G24</f>
        <v>134230427.80348599</v>
      </c>
      <c r="I24" s="637">
        <f>MAX(I16-I21,I16*0.25)</f>
        <v>16590993.708895063</v>
      </c>
      <c r="J24" s="637">
        <f>MAX(J16-J21,J16*0.25)</f>
        <v>5493050.0452951184</v>
      </c>
      <c r="K24" s="636">
        <f>I24+J24</f>
        <v>22084043.75419018</v>
      </c>
    </row>
    <row r="25" spans="1:11" ht="14.4" thickBot="1">
      <c r="A25" s="232">
        <v>15</v>
      </c>
      <c r="B25" s="233" t="s">
        <v>268</v>
      </c>
      <c r="C25" s="234"/>
      <c r="D25" s="234"/>
      <c r="E25" s="234"/>
      <c r="F25" s="638">
        <f t="shared" ref="F25:K25" si="5">F23/F24</f>
        <v>1.2261622547432225</v>
      </c>
      <c r="G25" s="638">
        <f t="shared" si="5"/>
        <v>2.6063862397950879</v>
      </c>
      <c r="H25" s="638">
        <f t="shared" si="5"/>
        <v>1.8641972529180246</v>
      </c>
      <c r="I25" s="638">
        <f t="shared" si="5"/>
        <v>6.1991400592441597</v>
      </c>
      <c r="J25" s="638">
        <f t="shared" si="5"/>
        <v>11.074688008541985</v>
      </c>
      <c r="K25" s="639">
        <f t="shared" si="5"/>
        <v>7.4118540522893621</v>
      </c>
    </row>
    <row r="27" spans="1:11" ht="27">
      <c r="B27" s="207" t="s">
        <v>304</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6"/>
  </cols>
  <sheetData>
    <row r="1" spans="1:14">
      <c r="A1" s="4" t="s">
        <v>31</v>
      </c>
      <c r="B1" s="3" t="str">
        <f>'Info '!C2</f>
        <v>JSC "CREDOBANK"</v>
      </c>
    </row>
    <row r="2" spans="1:14" ht="14.25" customHeight="1">
      <c r="A2" s="4" t="s">
        <v>32</v>
      </c>
      <c r="B2" s="325">
        <f>'1. key ratios '!B2</f>
        <v>45107</v>
      </c>
    </row>
    <row r="3" spans="1:14" ht="14.25" customHeight="1"/>
    <row r="4" spans="1:14" ht="13.8" thickBot="1">
      <c r="A4" s="4" t="s">
        <v>163</v>
      </c>
      <c r="B4" s="163" t="s">
        <v>29</v>
      </c>
    </row>
    <row r="5" spans="1:14" s="115" customFormat="1">
      <c r="A5" s="111"/>
      <c r="B5" s="112"/>
      <c r="C5" s="113" t="s">
        <v>0</v>
      </c>
      <c r="D5" s="113" t="s">
        <v>1</v>
      </c>
      <c r="E5" s="113" t="s">
        <v>2</v>
      </c>
      <c r="F5" s="113" t="s">
        <v>3</v>
      </c>
      <c r="G5" s="113" t="s">
        <v>4</v>
      </c>
      <c r="H5" s="113" t="s">
        <v>6</v>
      </c>
      <c r="I5" s="113" t="s">
        <v>9</v>
      </c>
      <c r="J5" s="113" t="s">
        <v>10</v>
      </c>
      <c r="K5" s="113" t="s">
        <v>11</v>
      </c>
      <c r="L5" s="113" t="s">
        <v>12</v>
      </c>
      <c r="M5" s="113" t="s">
        <v>13</v>
      </c>
      <c r="N5" s="114" t="s">
        <v>14</v>
      </c>
    </row>
    <row r="6" spans="1:14" ht="26.4">
      <c r="A6" s="116"/>
      <c r="B6" s="117"/>
      <c r="C6" s="118" t="s">
        <v>162</v>
      </c>
      <c r="D6" s="119" t="s">
        <v>161</v>
      </c>
      <c r="E6" s="120" t="s">
        <v>160</v>
      </c>
      <c r="F6" s="121">
        <v>0</v>
      </c>
      <c r="G6" s="121">
        <v>0.2</v>
      </c>
      <c r="H6" s="121">
        <v>0.35</v>
      </c>
      <c r="I6" s="121">
        <v>0.5</v>
      </c>
      <c r="J6" s="121">
        <v>0.75</v>
      </c>
      <c r="K6" s="121">
        <v>1</v>
      </c>
      <c r="L6" s="121">
        <v>1.5</v>
      </c>
      <c r="M6" s="121">
        <v>2.5</v>
      </c>
      <c r="N6" s="162" t="s">
        <v>169</v>
      </c>
    </row>
    <row r="7" spans="1:14" ht="13.8">
      <c r="A7" s="122">
        <v>1</v>
      </c>
      <c r="B7" s="123" t="s">
        <v>159</v>
      </c>
      <c r="C7" s="124">
        <f>SUM(C8:C13)</f>
        <v>180622820.5</v>
      </c>
      <c r="D7" s="117"/>
      <c r="E7" s="125">
        <f t="shared" ref="E7:M7" si="0">SUM(E8:E13)</f>
        <v>3612456.41</v>
      </c>
      <c r="F7" s="126">
        <f>SUM(F8:F13)</f>
        <v>0</v>
      </c>
      <c r="G7" s="126">
        <f t="shared" si="0"/>
        <v>0</v>
      </c>
      <c r="H7" s="126">
        <f t="shared" si="0"/>
        <v>0</v>
      </c>
      <c r="I7" s="126">
        <f t="shared" si="0"/>
        <v>0</v>
      </c>
      <c r="J7" s="126">
        <f t="shared" si="0"/>
        <v>0</v>
      </c>
      <c r="K7" s="126">
        <f t="shared" si="0"/>
        <v>3612456.41</v>
      </c>
      <c r="L7" s="126">
        <f t="shared" si="0"/>
        <v>0</v>
      </c>
      <c r="M7" s="126">
        <f t="shared" si="0"/>
        <v>0</v>
      </c>
      <c r="N7" s="127">
        <f>SUM(N8:N13)</f>
        <v>3612456.41</v>
      </c>
    </row>
    <row r="8" spans="1:14" ht="13.8">
      <c r="A8" s="122">
        <v>1.1000000000000001</v>
      </c>
      <c r="B8" s="128" t="s">
        <v>157</v>
      </c>
      <c r="C8" s="126">
        <v>180622820.5</v>
      </c>
      <c r="D8" s="129">
        <v>0.02</v>
      </c>
      <c r="E8" s="125">
        <f>C8*D8</f>
        <v>3612456.41</v>
      </c>
      <c r="F8" s="126"/>
      <c r="G8" s="126"/>
      <c r="H8" s="126"/>
      <c r="I8" s="126"/>
      <c r="J8" s="126"/>
      <c r="K8" s="126">
        <v>3612456.41</v>
      </c>
      <c r="L8" s="126"/>
      <c r="M8" s="126"/>
      <c r="N8" s="127">
        <f>SUMPRODUCT($F$6:$M$6,F8:M8)</f>
        <v>3612456.41</v>
      </c>
    </row>
    <row r="9" spans="1:14" ht="13.8">
      <c r="A9" s="122">
        <v>1.2</v>
      </c>
      <c r="B9" s="128" t="s">
        <v>156</v>
      </c>
      <c r="C9" s="126">
        <v>0</v>
      </c>
      <c r="D9" s="129">
        <v>0.05</v>
      </c>
      <c r="E9" s="125">
        <f>C9*D9</f>
        <v>0</v>
      </c>
      <c r="F9" s="126"/>
      <c r="G9" s="126"/>
      <c r="H9" s="126"/>
      <c r="I9" s="126"/>
      <c r="J9" s="126"/>
      <c r="K9" s="126"/>
      <c r="L9" s="126"/>
      <c r="M9" s="126"/>
      <c r="N9" s="127">
        <f t="shared" ref="N9:N12" si="1">SUMPRODUCT($F$6:$M$6,F9:M9)</f>
        <v>0</v>
      </c>
    </row>
    <row r="10" spans="1:14" ht="13.8">
      <c r="A10" s="122">
        <v>1.3</v>
      </c>
      <c r="B10" s="128" t="s">
        <v>155</v>
      </c>
      <c r="C10" s="126">
        <v>0</v>
      </c>
      <c r="D10" s="129">
        <v>0.08</v>
      </c>
      <c r="E10" s="125">
        <f>C10*D10</f>
        <v>0</v>
      </c>
      <c r="F10" s="126"/>
      <c r="G10" s="126"/>
      <c r="H10" s="126"/>
      <c r="I10" s="126"/>
      <c r="J10" s="126"/>
      <c r="K10" s="126"/>
      <c r="L10" s="126"/>
      <c r="M10" s="126"/>
      <c r="N10" s="127">
        <f>SUMPRODUCT($F$6:$M$6,F10:M10)</f>
        <v>0</v>
      </c>
    </row>
    <row r="11" spans="1:14" ht="13.8">
      <c r="A11" s="122">
        <v>1.4</v>
      </c>
      <c r="B11" s="128" t="s">
        <v>154</v>
      </c>
      <c r="C11" s="126">
        <v>0</v>
      </c>
      <c r="D11" s="129">
        <v>0.11</v>
      </c>
      <c r="E11" s="125">
        <f>C11*D11</f>
        <v>0</v>
      </c>
      <c r="F11" s="126"/>
      <c r="G11" s="126"/>
      <c r="H11" s="126"/>
      <c r="I11" s="126"/>
      <c r="J11" s="126"/>
      <c r="K11" s="126"/>
      <c r="L11" s="126"/>
      <c r="M11" s="126"/>
      <c r="N11" s="127">
        <f t="shared" si="1"/>
        <v>0</v>
      </c>
    </row>
    <row r="12" spans="1:14" ht="13.8">
      <c r="A12" s="122">
        <v>1.5</v>
      </c>
      <c r="B12" s="128" t="s">
        <v>153</v>
      </c>
      <c r="C12" s="126">
        <v>0</v>
      </c>
      <c r="D12" s="129">
        <v>0.14000000000000001</v>
      </c>
      <c r="E12" s="125">
        <f>C12*D12</f>
        <v>0</v>
      </c>
      <c r="F12" s="126"/>
      <c r="G12" s="126"/>
      <c r="H12" s="126"/>
      <c r="I12" s="126"/>
      <c r="J12" s="126"/>
      <c r="K12" s="126"/>
      <c r="L12" s="126"/>
      <c r="M12" s="126"/>
      <c r="N12" s="127">
        <f t="shared" si="1"/>
        <v>0</v>
      </c>
    </row>
    <row r="13" spans="1:14" ht="13.8">
      <c r="A13" s="122">
        <v>1.6</v>
      </c>
      <c r="B13" s="130" t="s">
        <v>152</v>
      </c>
      <c r="C13" s="126">
        <v>0</v>
      </c>
      <c r="D13" s="131"/>
      <c r="E13" s="126"/>
      <c r="F13" s="126"/>
      <c r="G13" s="126"/>
      <c r="H13" s="126"/>
      <c r="I13" s="126"/>
      <c r="J13" s="126"/>
      <c r="K13" s="126"/>
      <c r="L13" s="126"/>
      <c r="M13" s="126"/>
      <c r="N13" s="127">
        <f>SUMPRODUCT($F$6:$M$6,F13:M13)</f>
        <v>0</v>
      </c>
    </row>
    <row r="14" spans="1:14" ht="13.8">
      <c r="A14" s="122">
        <v>2</v>
      </c>
      <c r="B14" s="132" t="s">
        <v>158</v>
      </c>
      <c r="C14" s="124">
        <f>SUM(C15:C20)</f>
        <v>0</v>
      </c>
      <c r="D14" s="117"/>
      <c r="E14" s="125">
        <f t="shared" ref="E14:M14" si="2">SUM(E15:E20)</f>
        <v>0</v>
      </c>
      <c r="F14" s="126">
        <f t="shared" si="2"/>
        <v>0</v>
      </c>
      <c r="G14" s="126">
        <f t="shared" si="2"/>
        <v>0</v>
      </c>
      <c r="H14" s="126">
        <f t="shared" si="2"/>
        <v>0</v>
      </c>
      <c r="I14" s="126">
        <f t="shared" si="2"/>
        <v>0</v>
      </c>
      <c r="J14" s="126">
        <f t="shared" si="2"/>
        <v>0</v>
      </c>
      <c r="K14" s="126">
        <f t="shared" si="2"/>
        <v>0</v>
      </c>
      <c r="L14" s="126">
        <f t="shared" si="2"/>
        <v>0</v>
      </c>
      <c r="M14" s="126">
        <f t="shared" si="2"/>
        <v>0</v>
      </c>
      <c r="N14" s="127">
        <f>SUM(N15:N20)</f>
        <v>0</v>
      </c>
    </row>
    <row r="15" spans="1:14" ht="13.8">
      <c r="A15" s="122">
        <v>2.1</v>
      </c>
      <c r="B15" s="130" t="s">
        <v>157</v>
      </c>
      <c r="C15" s="126"/>
      <c r="D15" s="129">
        <v>5.0000000000000001E-3</v>
      </c>
      <c r="E15" s="125">
        <f>C15*D15</f>
        <v>0</v>
      </c>
      <c r="F15" s="126"/>
      <c r="G15" s="126"/>
      <c r="H15" s="126"/>
      <c r="I15" s="126"/>
      <c r="J15" s="126"/>
      <c r="K15" s="126"/>
      <c r="L15" s="126"/>
      <c r="M15" s="126"/>
      <c r="N15" s="127">
        <f>SUMPRODUCT($F$6:$M$6,F15:M15)</f>
        <v>0</v>
      </c>
    </row>
    <row r="16" spans="1:14" ht="13.8">
      <c r="A16" s="122">
        <v>2.2000000000000002</v>
      </c>
      <c r="B16" s="130" t="s">
        <v>156</v>
      </c>
      <c r="C16" s="126"/>
      <c r="D16" s="129">
        <v>0.01</v>
      </c>
      <c r="E16" s="125">
        <f>C16*D16</f>
        <v>0</v>
      </c>
      <c r="F16" s="126"/>
      <c r="G16" s="126"/>
      <c r="H16" s="126"/>
      <c r="I16" s="126"/>
      <c r="J16" s="126"/>
      <c r="K16" s="126"/>
      <c r="L16" s="126"/>
      <c r="M16" s="126"/>
      <c r="N16" s="127">
        <f t="shared" ref="N16:N20" si="3">SUMPRODUCT($F$6:$M$6,F16:M16)</f>
        <v>0</v>
      </c>
    </row>
    <row r="17" spans="1:14" ht="13.8">
      <c r="A17" s="122">
        <v>2.2999999999999998</v>
      </c>
      <c r="B17" s="130" t="s">
        <v>155</v>
      </c>
      <c r="C17" s="126"/>
      <c r="D17" s="129">
        <v>0.02</v>
      </c>
      <c r="E17" s="125">
        <f>C17*D17</f>
        <v>0</v>
      </c>
      <c r="F17" s="126"/>
      <c r="G17" s="126"/>
      <c r="H17" s="126"/>
      <c r="I17" s="126"/>
      <c r="J17" s="126"/>
      <c r="K17" s="126"/>
      <c r="L17" s="126"/>
      <c r="M17" s="126"/>
      <c r="N17" s="127">
        <f t="shared" si="3"/>
        <v>0</v>
      </c>
    </row>
    <row r="18" spans="1:14" ht="13.8">
      <c r="A18" s="122">
        <v>2.4</v>
      </c>
      <c r="B18" s="130" t="s">
        <v>154</v>
      </c>
      <c r="C18" s="126"/>
      <c r="D18" s="129">
        <v>0.03</v>
      </c>
      <c r="E18" s="125">
        <f>C18*D18</f>
        <v>0</v>
      </c>
      <c r="F18" s="126"/>
      <c r="G18" s="126"/>
      <c r="H18" s="126"/>
      <c r="I18" s="126"/>
      <c r="J18" s="126"/>
      <c r="K18" s="126"/>
      <c r="L18" s="126"/>
      <c r="M18" s="126"/>
      <c r="N18" s="127">
        <f t="shared" si="3"/>
        <v>0</v>
      </c>
    </row>
    <row r="19" spans="1:14" ht="13.8">
      <c r="A19" s="122">
        <v>2.5</v>
      </c>
      <c r="B19" s="130" t="s">
        <v>153</v>
      </c>
      <c r="C19" s="126"/>
      <c r="D19" s="129">
        <v>0.04</v>
      </c>
      <c r="E19" s="125">
        <f>C19*D19</f>
        <v>0</v>
      </c>
      <c r="F19" s="126"/>
      <c r="G19" s="126"/>
      <c r="H19" s="126"/>
      <c r="I19" s="126"/>
      <c r="J19" s="126"/>
      <c r="K19" s="126"/>
      <c r="L19" s="126"/>
      <c r="M19" s="126"/>
      <c r="N19" s="127">
        <f t="shared" si="3"/>
        <v>0</v>
      </c>
    </row>
    <row r="20" spans="1:14" ht="13.8">
      <c r="A20" s="122">
        <v>2.6</v>
      </c>
      <c r="B20" s="130" t="s">
        <v>152</v>
      </c>
      <c r="C20" s="126"/>
      <c r="D20" s="131"/>
      <c r="E20" s="133"/>
      <c r="F20" s="126"/>
      <c r="G20" s="126"/>
      <c r="H20" s="126"/>
      <c r="I20" s="126"/>
      <c r="J20" s="126"/>
      <c r="K20" s="126"/>
      <c r="L20" s="126"/>
      <c r="M20" s="126"/>
      <c r="N20" s="127">
        <f t="shared" si="3"/>
        <v>0</v>
      </c>
    </row>
    <row r="21" spans="1:14" ht="14.4" thickBot="1">
      <c r="A21" s="134"/>
      <c r="B21" s="135" t="s">
        <v>65</v>
      </c>
      <c r="C21" s="110">
        <f>C14+C7</f>
        <v>180622820.5</v>
      </c>
      <c r="D21" s="136"/>
      <c r="E21" s="137">
        <f>E14+E7</f>
        <v>3612456.41</v>
      </c>
      <c r="F21" s="138">
        <f>F7+F14</f>
        <v>0</v>
      </c>
      <c r="G21" s="138">
        <f t="shared" ref="G21:L21" si="4">G7+G14</f>
        <v>0</v>
      </c>
      <c r="H21" s="138">
        <f t="shared" si="4"/>
        <v>0</v>
      </c>
      <c r="I21" s="138">
        <f t="shared" si="4"/>
        <v>0</v>
      </c>
      <c r="J21" s="138">
        <f t="shared" si="4"/>
        <v>0</v>
      </c>
      <c r="K21" s="138">
        <f t="shared" si="4"/>
        <v>3612456.41</v>
      </c>
      <c r="L21" s="138">
        <f t="shared" si="4"/>
        <v>0</v>
      </c>
      <c r="M21" s="138">
        <f>M7+M14</f>
        <v>0</v>
      </c>
      <c r="N21" s="139">
        <f>N14+N7</f>
        <v>3612456.41</v>
      </c>
    </row>
    <row r="22" spans="1:14">
      <c r="E22" s="140"/>
      <c r="F22" s="140"/>
      <c r="G22" s="140"/>
      <c r="H22" s="140"/>
      <c r="I22" s="140"/>
      <c r="J22" s="140"/>
      <c r="K22" s="140"/>
      <c r="L22" s="140"/>
      <c r="M22" s="140"/>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0" zoomScale="90" zoomScaleNormal="90" workbookViewId="0">
      <selection activeCell="C35" sqref="C35"/>
    </sheetView>
  </sheetViews>
  <sheetFormatPr defaultRowHeight="14.4"/>
  <cols>
    <col min="1" max="1" width="11.44140625" customWidth="1"/>
    <col min="2" max="2" width="76.77734375" style="261" customWidth="1"/>
    <col min="3" max="3" width="22.77734375" customWidth="1"/>
  </cols>
  <sheetData>
    <row r="1" spans="1:3">
      <c r="A1" s="2" t="s">
        <v>31</v>
      </c>
      <c r="B1" s="3" t="str">
        <f>'Info '!C2</f>
        <v>JSC "CREDOBANK"</v>
      </c>
    </row>
    <row r="2" spans="1:3">
      <c r="A2" s="2" t="s">
        <v>32</v>
      </c>
      <c r="B2" s="325">
        <f>'1. key ratios '!B2</f>
        <v>45107</v>
      </c>
    </row>
    <row r="3" spans="1:3">
      <c r="A3" s="4"/>
      <c r="B3"/>
    </row>
    <row r="4" spans="1:3">
      <c r="A4" s="4" t="s">
        <v>309</v>
      </c>
      <c r="B4" t="s">
        <v>310</v>
      </c>
    </row>
    <row r="5" spans="1:3">
      <c r="A5" s="262" t="s">
        <v>311</v>
      </c>
      <c r="B5" s="263"/>
      <c r="C5" s="264"/>
    </row>
    <row r="6" spans="1:3">
      <c r="A6" s="265">
        <v>1</v>
      </c>
      <c r="B6" s="266" t="s">
        <v>362</v>
      </c>
      <c r="C6" s="267">
        <v>2280922968.1887035</v>
      </c>
    </row>
    <row r="7" spans="1:3">
      <c r="A7" s="265">
        <v>2</v>
      </c>
      <c r="B7" s="266" t="s">
        <v>312</v>
      </c>
      <c r="C7" s="267">
        <v>-18857962.90000001</v>
      </c>
    </row>
    <row r="8" spans="1:3" ht="24">
      <c r="A8" s="268">
        <v>3</v>
      </c>
      <c r="B8" s="269" t="s">
        <v>313</v>
      </c>
      <c r="C8" s="267">
        <f>C6+C7</f>
        <v>2262065005.2887034</v>
      </c>
    </row>
    <row r="9" spans="1:3">
      <c r="A9" s="262" t="s">
        <v>314</v>
      </c>
      <c r="B9" s="263"/>
      <c r="C9" s="270"/>
    </row>
    <row r="10" spans="1:3">
      <c r="A10" s="271">
        <v>4</v>
      </c>
      <c r="B10" s="272" t="s">
        <v>315</v>
      </c>
      <c r="C10" s="267"/>
    </row>
    <row r="11" spans="1:3">
      <c r="A11" s="271">
        <v>5</v>
      </c>
      <c r="B11" s="273" t="s">
        <v>316</v>
      </c>
      <c r="C11" s="267"/>
    </row>
    <row r="12" spans="1:3">
      <c r="A12" s="271" t="s">
        <v>317</v>
      </c>
      <c r="B12" s="273" t="s">
        <v>318</v>
      </c>
      <c r="C12" s="640">
        <v>3612456.41</v>
      </c>
    </row>
    <row r="13" spans="1:3" ht="22.8">
      <c r="A13" s="274">
        <v>6</v>
      </c>
      <c r="B13" s="272" t="s">
        <v>319</v>
      </c>
      <c r="C13" s="267"/>
    </row>
    <row r="14" spans="1:3">
      <c r="A14" s="274">
        <v>7</v>
      </c>
      <c r="B14" s="275" t="s">
        <v>320</v>
      </c>
      <c r="C14" s="267"/>
    </row>
    <row r="15" spans="1:3">
      <c r="A15" s="276">
        <v>8</v>
      </c>
      <c r="B15" s="277" t="s">
        <v>321</v>
      </c>
      <c r="C15" s="267"/>
    </row>
    <row r="16" spans="1:3">
      <c r="A16" s="274">
        <v>9</v>
      </c>
      <c r="B16" s="275" t="s">
        <v>322</v>
      </c>
      <c r="C16" s="267"/>
    </row>
    <row r="17" spans="1:3">
      <c r="A17" s="274">
        <v>10</v>
      </c>
      <c r="B17" s="275" t="s">
        <v>323</v>
      </c>
      <c r="C17" s="267"/>
    </row>
    <row r="18" spans="1:3">
      <c r="A18" s="278">
        <v>11</v>
      </c>
      <c r="B18" s="279" t="s">
        <v>324</v>
      </c>
      <c r="C18" s="280">
        <f>SUM(C10:C17)</f>
        <v>3612456.41</v>
      </c>
    </row>
    <row r="19" spans="1:3">
      <c r="A19" s="281" t="s">
        <v>325</v>
      </c>
      <c r="B19" s="282"/>
      <c r="C19" s="283"/>
    </row>
    <row r="20" spans="1:3">
      <c r="A20" s="284">
        <v>12</v>
      </c>
      <c r="B20" s="272" t="s">
        <v>326</v>
      </c>
      <c r="C20" s="267"/>
    </row>
    <row r="21" spans="1:3">
      <c r="A21" s="284">
        <v>13</v>
      </c>
      <c r="B21" s="272" t="s">
        <v>327</v>
      </c>
      <c r="C21" s="267"/>
    </row>
    <row r="22" spans="1:3">
      <c r="A22" s="284">
        <v>14</v>
      </c>
      <c r="B22" s="272" t="s">
        <v>328</v>
      </c>
      <c r="C22" s="267"/>
    </row>
    <row r="23" spans="1:3" ht="22.8">
      <c r="A23" s="284" t="s">
        <v>329</v>
      </c>
      <c r="B23" s="272" t="s">
        <v>330</v>
      </c>
      <c r="C23" s="267"/>
    </row>
    <row r="24" spans="1:3">
      <c r="A24" s="284">
        <v>15</v>
      </c>
      <c r="B24" s="272" t="s">
        <v>331</v>
      </c>
      <c r="C24" s="267"/>
    </row>
    <row r="25" spans="1:3">
      <c r="A25" s="284" t="s">
        <v>332</v>
      </c>
      <c r="B25" s="272" t="s">
        <v>333</v>
      </c>
      <c r="C25" s="267"/>
    </row>
    <row r="26" spans="1:3">
      <c r="A26" s="285">
        <v>16</v>
      </c>
      <c r="B26" s="286" t="s">
        <v>334</v>
      </c>
      <c r="C26" s="280">
        <f>SUM(C20:C25)</f>
        <v>0</v>
      </c>
    </row>
    <row r="27" spans="1:3">
      <c r="A27" s="262" t="s">
        <v>335</v>
      </c>
      <c r="B27" s="263"/>
      <c r="C27" s="270"/>
    </row>
    <row r="28" spans="1:3">
      <c r="A28" s="287">
        <v>17</v>
      </c>
      <c r="B28" s="273" t="s">
        <v>336</v>
      </c>
      <c r="C28" s="267">
        <v>44052871.439999998</v>
      </c>
    </row>
    <row r="29" spans="1:3">
      <c r="A29" s="287">
        <v>18</v>
      </c>
      <c r="B29" s="273" t="s">
        <v>337</v>
      </c>
      <c r="C29" s="267">
        <v>-22961170.449999999</v>
      </c>
    </row>
    <row r="30" spans="1:3">
      <c r="A30" s="285">
        <v>19</v>
      </c>
      <c r="B30" s="286" t="s">
        <v>338</v>
      </c>
      <c r="C30" s="280">
        <f>C28+C29</f>
        <v>21091700.989999998</v>
      </c>
    </row>
    <row r="31" spans="1:3">
      <c r="A31" s="262" t="s">
        <v>339</v>
      </c>
      <c r="B31" s="263"/>
      <c r="C31" s="270"/>
    </row>
    <row r="32" spans="1:3" ht="22.8">
      <c r="A32" s="287" t="s">
        <v>340</v>
      </c>
      <c r="B32" s="272" t="s">
        <v>341</v>
      </c>
      <c r="C32" s="288"/>
    </row>
    <row r="33" spans="1:3">
      <c r="A33" s="287" t="s">
        <v>342</v>
      </c>
      <c r="B33" s="273" t="s">
        <v>343</v>
      </c>
      <c r="C33" s="288"/>
    </row>
    <row r="34" spans="1:3">
      <c r="A34" s="262" t="s">
        <v>344</v>
      </c>
      <c r="B34" s="263"/>
      <c r="C34" s="270"/>
    </row>
    <row r="35" spans="1:3">
      <c r="A35" s="289">
        <v>20</v>
      </c>
      <c r="B35" s="290" t="s">
        <v>345</v>
      </c>
      <c r="C35" s="640">
        <v>260667992.61999992</v>
      </c>
    </row>
    <row r="36" spans="1:3">
      <c r="A36" s="285">
        <v>21</v>
      </c>
      <c r="B36" s="286" t="s">
        <v>346</v>
      </c>
      <c r="C36" s="640">
        <f>C8+C18+C26+C30</f>
        <v>2286769162.6887031</v>
      </c>
    </row>
    <row r="37" spans="1:3">
      <c r="A37" s="262" t="s">
        <v>347</v>
      </c>
      <c r="B37" s="263"/>
      <c r="C37" s="270"/>
    </row>
    <row r="38" spans="1:3">
      <c r="A38" s="285">
        <v>22</v>
      </c>
      <c r="B38" s="286" t="s">
        <v>347</v>
      </c>
      <c r="C38" s="701">
        <f t="shared" ref="C38" si="0">C35/C36</f>
        <v>0.1139896395635822</v>
      </c>
    </row>
    <row r="39" spans="1:3">
      <c r="A39" s="262" t="s">
        <v>348</v>
      </c>
      <c r="B39" s="263"/>
      <c r="C39" s="270"/>
    </row>
    <row r="40" spans="1:3">
      <c r="A40" s="291" t="s">
        <v>349</v>
      </c>
      <c r="B40" s="272" t="s">
        <v>350</v>
      </c>
      <c r="C40" s="288"/>
    </row>
    <row r="41" spans="1:3" ht="22.8">
      <c r="A41" s="292" t="s">
        <v>351</v>
      </c>
      <c r="B41" s="266" t="s">
        <v>352</v>
      </c>
      <c r="C41" s="288"/>
    </row>
    <row r="43" spans="1:3">
      <c r="B43" s="261" t="s">
        <v>363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pane="topRight" activeCell="C1" sqref="C1"/>
      <selection pane="bottomLeft" activeCell="A6" sqref="A6"/>
      <selection pane="bottomRight" activeCell="I19" sqref="I19"/>
    </sheetView>
  </sheetViews>
  <sheetFormatPr defaultRowHeight="14.4"/>
  <cols>
    <col min="1" max="1" width="8.77734375" style="169"/>
    <col min="2" max="2" width="82.6640625" style="176" customWidth="1"/>
    <col min="3" max="7" width="17.5546875" style="169" customWidth="1"/>
  </cols>
  <sheetData>
    <row r="1" spans="1:7">
      <c r="A1" s="169" t="s">
        <v>31</v>
      </c>
      <c r="B1" s="3" t="str">
        <f>'Info '!C2</f>
        <v>JSC "CREDOBANK"</v>
      </c>
    </row>
    <row r="2" spans="1:7">
      <c r="A2" s="169" t="s">
        <v>32</v>
      </c>
      <c r="B2" s="325">
        <f>'1. key ratios '!B2</f>
        <v>45107</v>
      </c>
    </row>
    <row r="4" spans="1:7" ht="15" thickBot="1">
      <c r="A4" s="169" t="s">
        <v>413</v>
      </c>
      <c r="B4" s="331" t="s">
        <v>374</v>
      </c>
    </row>
    <row r="5" spans="1:7">
      <c r="A5" s="332"/>
      <c r="B5" s="333"/>
      <c r="C5" s="762" t="s">
        <v>375</v>
      </c>
      <c r="D5" s="762"/>
      <c r="E5" s="762"/>
      <c r="F5" s="762"/>
      <c r="G5" s="763" t="s">
        <v>376</v>
      </c>
    </row>
    <row r="6" spans="1:7">
      <c r="A6" s="334"/>
      <c r="B6" s="335"/>
      <c r="C6" s="336" t="s">
        <v>377</v>
      </c>
      <c r="D6" s="336" t="s">
        <v>378</v>
      </c>
      <c r="E6" s="336" t="s">
        <v>379</v>
      </c>
      <c r="F6" s="336" t="s">
        <v>380</v>
      </c>
      <c r="G6" s="764"/>
    </row>
    <row r="7" spans="1:7">
      <c r="A7" s="337"/>
      <c r="B7" s="338" t="s">
        <v>381</v>
      </c>
      <c r="C7" s="339"/>
      <c r="D7" s="339"/>
      <c r="E7" s="339"/>
      <c r="F7" s="339"/>
      <c r="G7" s="340"/>
    </row>
    <row r="8" spans="1:7">
      <c r="A8" s="341">
        <v>1</v>
      </c>
      <c r="B8" s="342" t="s">
        <v>382</v>
      </c>
      <c r="C8" s="343">
        <f>SUM(C9:C10)</f>
        <v>260667992.61999992</v>
      </c>
      <c r="D8" s="343">
        <f>SUM(D9:D10)</f>
        <v>0</v>
      </c>
      <c r="E8" s="343">
        <f>SUM(E9:E10)</f>
        <v>0</v>
      </c>
      <c r="F8" s="343">
        <f>SUM(F9:F10)</f>
        <v>828696784.53343844</v>
      </c>
      <c r="G8" s="344">
        <f>SUM(G9:G10)</f>
        <v>1089364777.1534383</v>
      </c>
    </row>
    <row r="9" spans="1:7">
      <c r="A9" s="341">
        <v>2</v>
      </c>
      <c r="B9" s="345" t="s">
        <v>383</v>
      </c>
      <c r="C9" s="641">
        <v>260667992.61999992</v>
      </c>
      <c r="D9" s="641"/>
      <c r="E9" s="641"/>
      <c r="F9" s="641">
        <v>78702418</v>
      </c>
      <c r="G9" s="344">
        <f>C9+F9</f>
        <v>339370410.61999989</v>
      </c>
    </row>
    <row r="10" spans="1:7" ht="27.6">
      <c r="A10" s="341">
        <v>3</v>
      </c>
      <c r="B10" s="345" t="s">
        <v>384</v>
      </c>
      <c r="C10" s="346"/>
      <c r="D10" s="346"/>
      <c r="E10" s="346"/>
      <c r="F10" s="641">
        <v>749994366.53343844</v>
      </c>
      <c r="G10" s="344">
        <f>C10+F10</f>
        <v>749994366.53343844</v>
      </c>
    </row>
    <row r="11" spans="1:7" ht="14.55" customHeight="1">
      <c r="A11" s="341">
        <v>4</v>
      </c>
      <c r="B11" s="342" t="s">
        <v>385</v>
      </c>
      <c r="C11" s="699">
        <f t="shared" ref="C11:F11" si="0">SUM(C12:C13)</f>
        <v>189122892.59740007</v>
      </c>
      <c r="D11" s="699">
        <f t="shared" si="0"/>
        <v>176098375</v>
      </c>
      <c r="E11" s="699">
        <f t="shared" si="0"/>
        <v>93049843</v>
      </c>
      <c r="F11" s="699">
        <f t="shared" si="0"/>
        <v>11404075.237775922</v>
      </c>
      <c r="G11" s="344">
        <f>SUM(G12:G13)</f>
        <v>367531362.19341719</v>
      </c>
    </row>
    <row r="12" spans="1:7">
      <c r="A12" s="341">
        <v>5</v>
      </c>
      <c r="B12" s="345" t="s">
        <v>386</v>
      </c>
      <c r="C12" s="641">
        <v>73342478.248500288</v>
      </c>
      <c r="D12" s="622">
        <v>132452565</v>
      </c>
      <c r="E12" s="641">
        <v>79382448</v>
      </c>
      <c r="F12" s="641">
        <v>9697551.5866757035</v>
      </c>
      <c r="G12" s="344">
        <f>SUM(C12:F12)*0.95</f>
        <v>280131290.69341719</v>
      </c>
    </row>
    <row r="13" spans="1:7">
      <c r="A13" s="341">
        <v>6</v>
      </c>
      <c r="B13" s="345" t="s">
        <v>387</v>
      </c>
      <c r="C13" s="641">
        <v>115780414.3488998</v>
      </c>
      <c r="D13" s="622">
        <v>43645810</v>
      </c>
      <c r="E13" s="641">
        <v>13667395</v>
      </c>
      <c r="F13" s="641">
        <v>1706523.6511002183</v>
      </c>
      <c r="G13" s="344">
        <f>SUM(C13:F13)*0.5</f>
        <v>87400071.5</v>
      </c>
    </row>
    <row r="14" spans="1:7">
      <c r="A14" s="341">
        <v>7</v>
      </c>
      <c r="B14" s="342" t="s">
        <v>388</v>
      </c>
      <c r="C14" s="646">
        <f t="shared" ref="C14:F14" si="1">SUM(C15:C16)</f>
        <v>71420925</v>
      </c>
      <c r="D14" s="646">
        <f t="shared" si="1"/>
        <v>218808055</v>
      </c>
      <c r="E14" s="646">
        <f t="shared" si="1"/>
        <v>307177712</v>
      </c>
      <c r="F14" s="646">
        <f t="shared" si="1"/>
        <v>23564513.212595999</v>
      </c>
      <c r="G14" s="344">
        <f>SUM(G15:G16)</f>
        <v>242163737.106298</v>
      </c>
    </row>
    <row r="15" spans="1:7" ht="41.4">
      <c r="A15" s="341">
        <v>8</v>
      </c>
      <c r="B15" s="345" t="s">
        <v>389</v>
      </c>
      <c r="C15" s="641">
        <v>71420925</v>
      </c>
      <c r="D15" s="642">
        <v>82164324</v>
      </c>
      <c r="E15" s="642">
        <v>134551912</v>
      </c>
      <c r="F15" s="641">
        <v>23564513.212595999</v>
      </c>
      <c r="G15" s="344">
        <f>SUM(C15:F15)*0.5</f>
        <v>155850837.106298</v>
      </c>
    </row>
    <row r="16" spans="1:7" ht="27.6">
      <c r="A16" s="341">
        <v>9</v>
      </c>
      <c r="B16" s="345" t="s">
        <v>390</v>
      </c>
      <c r="C16" s="641"/>
      <c r="D16" s="643">
        <v>136643731</v>
      </c>
      <c r="E16" s="641">
        <v>172625800</v>
      </c>
      <c r="F16" s="641"/>
      <c r="G16" s="344">
        <v>86312900</v>
      </c>
    </row>
    <row r="17" spans="1:7">
      <c r="A17" s="341">
        <v>10</v>
      </c>
      <c r="B17" s="342" t="s">
        <v>391</v>
      </c>
      <c r="C17" s="343"/>
      <c r="D17" s="347"/>
      <c r="E17" s="343"/>
      <c r="F17" s="343"/>
      <c r="G17" s="344"/>
    </row>
    <row r="18" spans="1:7">
      <c r="A18" s="341">
        <v>11</v>
      </c>
      <c r="B18" s="342" t="s">
        <v>392</v>
      </c>
      <c r="C18" s="699">
        <f>SUM(C19:C20)</f>
        <v>35580418</v>
      </c>
      <c r="D18" s="700">
        <f t="shared" ref="D18:G18" si="2">SUM(D19:D20)</f>
        <v>7543352.118789956</v>
      </c>
      <c r="E18" s="699">
        <f t="shared" si="2"/>
        <v>2621551.8821621481</v>
      </c>
      <c r="F18" s="699">
        <f t="shared" si="2"/>
        <v>36308515.797837853</v>
      </c>
      <c r="G18" s="344">
        <f t="shared" si="2"/>
        <v>0</v>
      </c>
    </row>
    <row r="19" spans="1:7">
      <c r="A19" s="341">
        <v>12</v>
      </c>
      <c r="B19" s="345" t="s">
        <v>393</v>
      </c>
      <c r="C19" s="346"/>
      <c r="D19" s="347"/>
      <c r="E19" s="343"/>
      <c r="F19" s="343"/>
      <c r="G19" s="344"/>
    </row>
    <row r="20" spans="1:7">
      <c r="A20" s="341">
        <v>13</v>
      </c>
      <c r="B20" s="345" t="s">
        <v>394</v>
      </c>
      <c r="C20" s="641">
        <v>35580418</v>
      </c>
      <c r="D20" s="641">
        <v>7543352.118789956</v>
      </c>
      <c r="E20" s="641">
        <v>2621551.8821621481</v>
      </c>
      <c r="F20" s="641">
        <v>36308515.797837853</v>
      </c>
      <c r="G20" s="344"/>
    </row>
    <row r="21" spans="1:7">
      <c r="A21" s="348">
        <v>14</v>
      </c>
      <c r="B21" s="349" t="s">
        <v>395</v>
      </c>
      <c r="C21" s="346"/>
      <c r="D21" s="346"/>
      <c r="E21" s="346"/>
      <c r="F21" s="346"/>
      <c r="G21" s="350">
        <f>SUM(G8,G11,G14,G17,G18)</f>
        <v>1699059876.4531536</v>
      </c>
    </row>
    <row r="22" spans="1:7">
      <c r="A22" s="351"/>
      <c r="B22" s="352" t="s">
        <v>396</v>
      </c>
      <c r="C22" s="353"/>
      <c r="D22" s="354"/>
      <c r="E22" s="353"/>
      <c r="F22" s="353"/>
      <c r="G22" s="355"/>
    </row>
    <row r="23" spans="1:7">
      <c r="A23" s="341">
        <v>15</v>
      </c>
      <c r="B23" s="342" t="s">
        <v>397</v>
      </c>
      <c r="C23" s="644">
        <v>244846825.29550001</v>
      </c>
      <c r="D23" s="645">
        <v>46420731.704499997</v>
      </c>
      <c r="E23" s="356"/>
      <c r="F23" s="356"/>
      <c r="G23" s="344">
        <v>4727793.8722250005</v>
      </c>
    </row>
    <row r="24" spans="1:7">
      <c r="A24" s="341">
        <v>16</v>
      </c>
      <c r="B24" s="342" t="s">
        <v>398</v>
      </c>
      <c r="C24" s="699">
        <f>SUM(C25:C27,C29,C31)</f>
        <v>54790087.419999994</v>
      </c>
      <c r="D24" s="700">
        <f t="shared" ref="D24:G24" si="3">SUM(D25:D27,D29,D31)</f>
        <v>454848113.99000001</v>
      </c>
      <c r="E24" s="699">
        <f t="shared" si="3"/>
        <v>321363809.52870792</v>
      </c>
      <c r="F24" s="699">
        <f t="shared" si="3"/>
        <v>986179109.24550021</v>
      </c>
      <c r="G24" s="350">
        <f t="shared" si="3"/>
        <v>1200348762.0568485</v>
      </c>
    </row>
    <row r="25" spans="1:7">
      <c r="A25" s="341">
        <v>17</v>
      </c>
      <c r="B25" s="345" t="s">
        <v>399</v>
      </c>
      <c r="C25" s="343"/>
      <c r="D25" s="347"/>
      <c r="E25" s="343"/>
      <c r="F25" s="343"/>
      <c r="G25" s="344"/>
    </row>
    <row r="26" spans="1:7" ht="27.6">
      <c r="A26" s="341">
        <v>18</v>
      </c>
      <c r="B26" s="345" t="s">
        <v>400</v>
      </c>
      <c r="C26" s="641">
        <v>54790087.419999994</v>
      </c>
      <c r="D26" s="622"/>
      <c r="E26" s="641"/>
      <c r="F26" s="641"/>
      <c r="G26" s="344">
        <f>C26*0.15</f>
        <v>8218513.112999999</v>
      </c>
    </row>
    <row r="27" spans="1:7">
      <c r="A27" s="341">
        <v>19</v>
      </c>
      <c r="B27" s="345" t="s">
        <v>401</v>
      </c>
      <c r="C27" s="641"/>
      <c r="D27" s="622">
        <v>454431402.99000001</v>
      </c>
      <c r="E27" s="641">
        <v>319938125.52870792</v>
      </c>
      <c r="F27" s="641">
        <v>894565984.11586761</v>
      </c>
      <c r="G27" s="344">
        <v>1130895521.5784874</v>
      </c>
    </row>
    <row r="28" spans="1:7">
      <c r="A28" s="341">
        <v>20</v>
      </c>
      <c r="B28" s="357" t="s">
        <v>402</v>
      </c>
      <c r="C28" s="343"/>
      <c r="D28" s="347"/>
      <c r="E28" s="343"/>
      <c r="F28" s="343"/>
      <c r="G28" s="344"/>
    </row>
    <row r="29" spans="1:7">
      <c r="A29" s="341">
        <v>21</v>
      </c>
      <c r="B29" s="345" t="s">
        <v>403</v>
      </c>
      <c r="C29" s="641"/>
      <c r="D29" s="622">
        <v>416711</v>
      </c>
      <c r="E29" s="641">
        <v>1425684</v>
      </c>
      <c r="F29" s="641">
        <v>89169928.724132523</v>
      </c>
      <c r="G29" s="344">
        <f>SUM(D29:F29)*0.65</f>
        <v>59158010.420686141</v>
      </c>
    </row>
    <row r="30" spans="1:7">
      <c r="A30" s="341">
        <v>22</v>
      </c>
      <c r="B30" s="357" t="s">
        <v>402</v>
      </c>
      <c r="C30" s="641"/>
      <c r="D30" s="622">
        <v>416711</v>
      </c>
      <c r="E30" s="641">
        <v>1425684</v>
      </c>
      <c r="F30" s="641">
        <v>89169928.724132523</v>
      </c>
      <c r="G30" s="344">
        <f>SUM(D30:F30)*0.65</f>
        <v>59158010.420686141</v>
      </c>
    </row>
    <row r="31" spans="1:7">
      <c r="A31" s="341">
        <v>23</v>
      </c>
      <c r="B31" s="345" t="s">
        <v>404</v>
      </c>
      <c r="C31" s="641"/>
      <c r="D31" s="622"/>
      <c r="E31" s="641"/>
      <c r="F31" s="641">
        <v>2443196.4054999999</v>
      </c>
      <c r="G31" s="344">
        <f>F31*0.85</f>
        <v>2076716.9446749999</v>
      </c>
    </row>
    <row r="32" spans="1:7">
      <c r="A32" s="341">
        <v>24</v>
      </c>
      <c r="B32" s="342" t="s">
        <v>405</v>
      </c>
      <c r="C32" s="343"/>
      <c r="D32" s="347"/>
      <c r="E32" s="343"/>
      <c r="F32" s="343"/>
      <c r="G32" s="344"/>
    </row>
    <row r="33" spans="1:7">
      <c r="A33" s="341">
        <v>25</v>
      </c>
      <c r="B33" s="342" t="s">
        <v>406</v>
      </c>
      <c r="C33" s="646">
        <f>SUM(C34:C35)</f>
        <v>92003985</v>
      </c>
      <c r="D33" s="646">
        <f>SUM(D34:D35)</f>
        <v>17450205.464715026</v>
      </c>
      <c r="E33" s="646">
        <f>SUM(E34:E35)</f>
        <v>9679372.6487200167</v>
      </c>
      <c r="F33" s="646">
        <f>SUM(F34:F35)</f>
        <v>34482765.061065055</v>
      </c>
      <c r="G33" s="344">
        <f>SUM(G34:G35)</f>
        <v>153616328.17450008</v>
      </c>
    </row>
    <row r="34" spans="1:7">
      <c r="A34" s="341">
        <v>26</v>
      </c>
      <c r="B34" s="345" t="s">
        <v>407</v>
      </c>
      <c r="C34" s="647"/>
      <c r="D34" s="622">
        <v>698316.45</v>
      </c>
      <c r="E34" s="641"/>
      <c r="F34" s="641"/>
      <c r="G34" s="344">
        <f>D34</f>
        <v>698316.45</v>
      </c>
    </row>
    <row r="35" spans="1:7">
      <c r="A35" s="341">
        <v>27</v>
      </c>
      <c r="B35" s="345" t="s">
        <v>408</v>
      </c>
      <c r="C35" s="641">
        <v>92003985</v>
      </c>
      <c r="D35" s="622">
        <v>16751889.014715027</v>
      </c>
      <c r="E35" s="641">
        <v>9679372.6487200167</v>
      </c>
      <c r="F35" s="641">
        <v>34482765.061065055</v>
      </c>
      <c r="G35" s="344">
        <f>SUM(C35:F35)</f>
        <v>152918011.72450009</v>
      </c>
    </row>
    <row r="36" spans="1:7">
      <c r="A36" s="341">
        <v>28</v>
      </c>
      <c r="B36" s="342" t="s">
        <v>409</v>
      </c>
      <c r="C36" s="641">
        <v>19920367</v>
      </c>
      <c r="D36" s="622"/>
      <c r="E36" s="641"/>
      <c r="F36" s="641">
        <v>24054459.439999998</v>
      </c>
      <c r="G36" s="344">
        <f>SUM(C36:F36)*0.05</f>
        <v>2198741.3220000002</v>
      </c>
    </row>
    <row r="37" spans="1:7">
      <c r="A37" s="348">
        <v>29</v>
      </c>
      <c r="B37" s="349" t="s">
        <v>410</v>
      </c>
      <c r="C37" s="346"/>
      <c r="D37" s="346"/>
      <c r="E37" s="346"/>
      <c r="F37" s="346"/>
      <c r="G37" s="350">
        <f>SUM(G23:G24,G32:G33,G36)</f>
        <v>1360891625.4255736</v>
      </c>
    </row>
    <row r="38" spans="1:7">
      <c r="A38" s="337"/>
      <c r="B38" s="358"/>
      <c r="C38" s="359"/>
      <c r="D38" s="359"/>
      <c r="E38" s="359"/>
      <c r="F38" s="359"/>
      <c r="G38" s="360"/>
    </row>
    <row r="39" spans="1:7" ht="15" thickBot="1">
      <c r="A39" s="361">
        <v>30</v>
      </c>
      <c r="B39" s="362" t="s">
        <v>411</v>
      </c>
      <c r="C39" s="229"/>
      <c r="D39" s="230"/>
      <c r="E39" s="230"/>
      <c r="F39" s="231"/>
      <c r="G39" s="363">
        <f>IFERROR(G21/G37,0)</f>
        <v>1.2484902138491956</v>
      </c>
    </row>
    <row r="42" spans="1:7" ht="41.4">
      <c r="B42" s="176" t="s">
        <v>412</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zoomScale="76" zoomScaleNormal="76" workbookViewId="0">
      <pane xSplit="1" ySplit="5" topLeftCell="B6" activePane="bottomRight" state="frozen"/>
      <selection activeCell="B9" sqref="B9"/>
      <selection pane="topRight" activeCell="B9" sqref="B9"/>
      <selection pane="bottomLeft" activeCell="B9" sqref="B9"/>
      <selection pane="bottomRight" activeCell="C15" sqref="C15"/>
    </sheetView>
  </sheetViews>
  <sheetFormatPr defaultColWidth="9.21875" defaultRowHeight="13.8"/>
  <cols>
    <col min="1" max="1" width="9.5546875" style="3" bestFit="1" customWidth="1"/>
    <col min="2" max="2" width="86" style="3" customWidth="1"/>
    <col min="3" max="3" width="13.6640625" style="3" bestFit="1" customWidth="1"/>
    <col min="4" max="7" width="13.6640625" style="4" bestFit="1" customWidth="1"/>
    <col min="8" max="8" width="6.77734375" style="5" customWidth="1"/>
    <col min="9" max="12" width="13.6640625" style="5" bestFit="1" customWidth="1"/>
    <col min="13" max="13" width="6.77734375" style="5" customWidth="1"/>
    <col min="14" max="16384" width="9.21875" style="5"/>
  </cols>
  <sheetData>
    <row r="1" spans="1:12">
      <c r="A1" s="2" t="s">
        <v>31</v>
      </c>
      <c r="B1" s="3" t="str">
        <f>'Info '!C2</f>
        <v>JSC "CREDOBANK"</v>
      </c>
    </row>
    <row r="2" spans="1:12">
      <c r="A2" s="2" t="s">
        <v>32</v>
      </c>
      <c r="B2" s="325">
        <v>45107</v>
      </c>
    </row>
    <row r="3" spans="1:12" ht="14.4" thickBot="1">
      <c r="A3" s="2"/>
    </row>
    <row r="4" spans="1:12" ht="15" customHeight="1" thickBot="1">
      <c r="A4" s="6" t="s">
        <v>94</v>
      </c>
      <c r="B4" s="7" t="s">
        <v>93</v>
      </c>
      <c r="C4" s="7"/>
      <c r="D4" s="704" t="s">
        <v>701</v>
      </c>
      <c r="E4" s="705"/>
      <c r="F4" s="705"/>
      <c r="G4" s="706"/>
      <c r="I4" s="707" t="s">
        <v>702</v>
      </c>
      <c r="J4" s="708"/>
      <c r="K4" s="708"/>
      <c r="L4" s="709"/>
    </row>
    <row r="5" spans="1:12">
      <c r="A5" s="8" t="s">
        <v>7</v>
      </c>
      <c r="B5" s="9"/>
      <c r="C5" s="323" t="str">
        <f>INT((MONTH($B$2))/3)&amp;"Q"&amp;"-"&amp;YEAR($B$2)</f>
        <v>2Q-2023</v>
      </c>
      <c r="D5" s="323" t="str">
        <f>IF(INT(MONTH($B$2))=3, "4"&amp;"Q"&amp;"-"&amp;YEAR($B$2)-1, IF(INT(MONTH($B$2))=6, "1"&amp;"Q"&amp;"-"&amp;YEAR($B$2), IF(INT(MONTH($B$2))=9, "2"&amp;"Q"&amp;"-"&amp;YEAR($B$2),IF(INT(MONTH($B$2))=12, "3"&amp;"Q"&amp;"-"&amp;YEAR($B$2), 0))))</f>
        <v>1Q-2023</v>
      </c>
      <c r="E5" s="323" t="str">
        <f>IF(INT(MONTH($B$2))=3, "3"&amp;"Q"&amp;"-"&amp;YEAR($B$2)-1, IF(INT(MONTH($B$2))=6, "4"&amp;"Q"&amp;"-"&amp;YEAR($B$2)-1, IF(INT(MONTH($B$2))=9, "1"&amp;"Q"&amp;"-"&amp;YEAR($B$2),IF(INT(MONTH($B$2))=12, "2"&amp;"Q"&amp;"-"&amp;YEAR($B$2), 0))))</f>
        <v>4Q-2022</v>
      </c>
      <c r="F5" s="323" t="str">
        <f>IF(INT(MONTH($B$2))=3, "2"&amp;"Q"&amp;"-"&amp;YEAR($B$2)-1, IF(INT(MONTH($B$2))=6, "3"&amp;"Q"&amp;"-"&amp;YEAR($B$2)-1, IF(INT(MONTH($B$2))=9, "4"&amp;"Q"&amp;"-"&amp;YEAR($B$2)-1,IF(INT(MONTH($B$2))=12, "1"&amp;"Q"&amp;"-"&amp;YEAR($B$2), 0))))</f>
        <v>3Q-2022</v>
      </c>
      <c r="G5" s="324" t="str">
        <f>IF(INT(MONTH($B$2))=3, "1"&amp;"Q"&amp;"-"&amp;YEAR($B$2)-1, IF(INT(MONTH($B$2))=6, "2"&amp;"Q"&amp;"-"&amp;YEAR($B$2)-1, IF(INT(MONTH($B$2))=9, "3"&amp;"Q"&amp;"-"&amp;YEAR($B$2)-1,IF(INT(MONTH($B$2))=12, "4"&amp;"Q"&amp;"-"&amp;YEAR($B$2)-1, 0))))</f>
        <v>2Q-2022</v>
      </c>
      <c r="I5" s="534" t="str">
        <f>D5</f>
        <v>1Q-2023</v>
      </c>
      <c r="J5" s="323" t="str">
        <f t="shared" ref="J5:L5" si="0">E5</f>
        <v>4Q-2022</v>
      </c>
      <c r="K5" s="323" t="str">
        <f t="shared" si="0"/>
        <v>3Q-2022</v>
      </c>
      <c r="L5" s="324" t="str">
        <f t="shared" si="0"/>
        <v>2Q-2022</v>
      </c>
    </row>
    <row r="6" spans="1:12">
      <c r="B6" s="147" t="s">
        <v>92</v>
      </c>
      <c r="C6" s="326"/>
      <c r="D6" s="326"/>
      <c r="E6" s="326"/>
      <c r="F6" s="326"/>
      <c r="G6" s="327"/>
      <c r="I6" s="535"/>
      <c r="J6" s="326"/>
      <c r="K6" s="326"/>
      <c r="L6" s="327"/>
    </row>
    <row r="7" spans="1:12">
      <c r="A7" s="10"/>
      <c r="B7" s="148" t="s">
        <v>90</v>
      </c>
      <c r="C7" s="326"/>
      <c r="D7" s="326"/>
      <c r="E7" s="326"/>
      <c r="F7" s="326"/>
      <c r="G7" s="327"/>
      <c r="I7" s="535"/>
      <c r="J7" s="326"/>
      <c r="K7" s="326"/>
      <c r="L7" s="327"/>
    </row>
    <row r="8" spans="1:12">
      <c r="A8" s="8">
        <v>1</v>
      </c>
      <c r="B8" s="11" t="s">
        <v>364</v>
      </c>
      <c r="C8" s="12">
        <v>260667992.61999992</v>
      </c>
      <c r="D8" s="13">
        <v>249275771.72</v>
      </c>
      <c r="E8" s="13">
        <v>245581009.12999979</v>
      </c>
      <c r="F8" s="13">
        <v>234593846.70000005</v>
      </c>
      <c r="G8" s="14">
        <v>220888547.4199999</v>
      </c>
      <c r="I8" s="536">
        <v>227329233.36999953</v>
      </c>
      <c r="J8" s="537">
        <v>214666012.52000001</v>
      </c>
      <c r="K8" s="537">
        <v>207106305.80000001</v>
      </c>
      <c r="L8" s="538">
        <v>198409430.91999987</v>
      </c>
    </row>
    <row r="9" spans="1:12">
      <c r="A9" s="8">
        <v>2</v>
      </c>
      <c r="B9" s="11" t="s">
        <v>365</v>
      </c>
      <c r="C9" s="12">
        <v>260667992.61999992</v>
      </c>
      <c r="D9" s="13">
        <v>249275771.72</v>
      </c>
      <c r="E9" s="13">
        <v>245581009.12999979</v>
      </c>
      <c r="F9" s="13">
        <v>234593846.70000005</v>
      </c>
      <c r="G9" s="14">
        <v>220888547.4199999</v>
      </c>
      <c r="I9" s="536">
        <v>227329233.36999953</v>
      </c>
      <c r="J9" s="537">
        <v>214666012.51999971</v>
      </c>
      <c r="K9" s="537">
        <v>207106305.80000001</v>
      </c>
      <c r="L9" s="538">
        <v>198409430.91999987</v>
      </c>
    </row>
    <row r="10" spans="1:12">
      <c r="A10" s="8">
        <v>3</v>
      </c>
      <c r="B10" s="11" t="s">
        <v>143</v>
      </c>
      <c r="C10" s="12">
        <v>339370410.61999989</v>
      </c>
      <c r="D10" s="13">
        <v>326164029.72000003</v>
      </c>
      <c r="E10" s="13">
        <v>312962049.12999976</v>
      </c>
      <c r="F10" s="13">
        <v>303793946.70000005</v>
      </c>
      <c r="G10" s="14">
        <v>292866043.4199999</v>
      </c>
      <c r="I10" s="536">
        <v>323841615.06906784</v>
      </c>
      <c r="J10" s="537">
        <v>302188638.76197034</v>
      </c>
      <c r="K10" s="537">
        <v>294906529.86733359</v>
      </c>
      <c r="L10" s="538">
        <v>287989939.18361312</v>
      </c>
    </row>
    <row r="11" spans="1:12">
      <c r="A11" s="8">
        <v>4</v>
      </c>
      <c r="B11" s="11" t="s">
        <v>367</v>
      </c>
      <c r="C11" s="12">
        <v>206145177.04826996</v>
      </c>
      <c r="D11" s="13">
        <v>197630429.46356279</v>
      </c>
      <c r="E11" s="13">
        <v>197699126.41092411</v>
      </c>
      <c r="F11" s="13">
        <v>148166094.10301402</v>
      </c>
      <c r="G11" s="14">
        <v>138796083.22385189</v>
      </c>
      <c r="I11" s="536">
        <v>172140990.82947937</v>
      </c>
      <c r="J11" s="537">
        <v>168546471.01320142</v>
      </c>
      <c r="K11" s="537">
        <v>155187807.28500125</v>
      </c>
      <c r="L11" s="538">
        <v>148367492.45126465</v>
      </c>
    </row>
    <row r="12" spans="1:12">
      <c r="A12" s="8">
        <v>5</v>
      </c>
      <c r="B12" s="11" t="s">
        <v>368</v>
      </c>
      <c r="C12" s="12">
        <v>246974104.80373019</v>
      </c>
      <c r="D12" s="13">
        <v>237258757.57883739</v>
      </c>
      <c r="E12" s="13">
        <v>235965932.35859731</v>
      </c>
      <c r="F12" s="13">
        <v>184085650.21945411</v>
      </c>
      <c r="G12" s="14">
        <v>170642026.51394957</v>
      </c>
      <c r="I12" s="536">
        <v>213319510.62380606</v>
      </c>
      <c r="J12" s="537">
        <v>208103387.59380776</v>
      </c>
      <c r="K12" s="537">
        <v>191591817.26351747</v>
      </c>
      <c r="L12" s="538">
        <v>183166203.41896465</v>
      </c>
    </row>
    <row r="13" spans="1:12">
      <c r="A13" s="8">
        <v>6</v>
      </c>
      <c r="B13" s="11" t="s">
        <v>366</v>
      </c>
      <c r="C13" s="12">
        <v>301209566.78413063</v>
      </c>
      <c r="D13" s="13">
        <v>289894568.45340198</v>
      </c>
      <c r="E13" s="13">
        <v>297781619.25709003</v>
      </c>
      <c r="F13" s="13">
        <v>242129845.12346169</v>
      </c>
      <c r="G13" s="14">
        <v>235722978.77016163</v>
      </c>
      <c r="I13" s="536">
        <v>268019862.51069021</v>
      </c>
      <c r="J13" s="537">
        <v>272011178.0017516</v>
      </c>
      <c r="K13" s="537">
        <v>250423017.24919254</v>
      </c>
      <c r="L13" s="538">
        <v>239408379.65133566</v>
      </c>
    </row>
    <row r="14" spans="1:12">
      <c r="A14" s="10"/>
      <c r="B14" s="147" t="s">
        <v>370</v>
      </c>
      <c r="C14" s="326"/>
      <c r="D14" s="326"/>
      <c r="E14" s="326"/>
      <c r="F14" s="326"/>
      <c r="G14" s="327"/>
      <c r="I14" s="535"/>
      <c r="J14" s="326"/>
      <c r="K14" s="326"/>
      <c r="L14" s="327"/>
    </row>
    <row r="15" spans="1:12" ht="15" customHeight="1">
      <c r="A15" s="8">
        <v>7</v>
      </c>
      <c r="B15" s="11" t="s">
        <v>369</v>
      </c>
      <c r="C15" s="205">
        <v>1950116748.2201159</v>
      </c>
      <c r="D15" s="13">
        <v>1893374491.8908103</v>
      </c>
      <c r="E15" s="13">
        <v>1931098425.3504341</v>
      </c>
      <c r="F15" s="13">
        <v>1816053193.8398914</v>
      </c>
      <c r="G15" s="14">
        <v>1732452834.8370857</v>
      </c>
      <c r="I15" s="536">
        <v>1968738198.5261486</v>
      </c>
      <c r="J15" s="537">
        <v>1997562971.9483364</v>
      </c>
      <c r="K15" s="537">
        <v>1841246012.9868748</v>
      </c>
      <c r="L15" s="538">
        <v>1760935941.6892467</v>
      </c>
    </row>
    <row r="16" spans="1:12">
      <c r="A16" s="10"/>
      <c r="B16" s="147" t="s">
        <v>371</v>
      </c>
      <c r="C16" s="326"/>
      <c r="D16" s="326"/>
      <c r="E16" s="326"/>
      <c r="F16" s="326"/>
      <c r="G16" s="327"/>
      <c r="I16" s="535"/>
      <c r="J16" s="326"/>
      <c r="K16" s="326"/>
      <c r="L16" s="327"/>
    </row>
    <row r="17" spans="1:16" ht="14.4">
      <c r="A17" s="8"/>
      <c r="B17" s="148" t="s">
        <v>355</v>
      </c>
      <c r="C17" s="326"/>
      <c r="D17" s="326"/>
      <c r="E17" s="326"/>
      <c r="F17" s="326"/>
      <c r="G17" s="327"/>
      <c r="H17"/>
      <c r="I17" s="535"/>
      <c r="J17" s="326"/>
      <c r="K17" s="326"/>
      <c r="L17" s="327"/>
    </row>
    <row r="18" spans="1:16" ht="14.4">
      <c r="A18" s="8">
        <v>8</v>
      </c>
      <c r="B18" s="11" t="s">
        <v>364</v>
      </c>
      <c r="C18" s="544">
        <f>C8/$C$15</f>
        <v>0.13366789083674774</v>
      </c>
      <c r="D18" s="545">
        <v>0.13165687653849284</v>
      </c>
      <c r="E18" s="545">
        <v>0.12717166867630506</v>
      </c>
      <c r="F18" s="545">
        <v>0.12917784979853544</v>
      </c>
      <c r="G18" s="546">
        <v>0.12750046810987009</v>
      </c>
      <c r="H18"/>
      <c r="I18" s="547">
        <v>0.11546950912019914</v>
      </c>
      <c r="J18" s="545">
        <v>0.10746395259350637</v>
      </c>
      <c r="K18" s="545">
        <v>0.11248160448914241</v>
      </c>
      <c r="L18" s="546">
        <v>0.11267271353986213</v>
      </c>
    </row>
    <row r="19" spans="1:16" ht="15" customHeight="1">
      <c r="A19" s="8">
        <v>9</v>
      </c>
      <c r="B19" s="11" t="s">
        <v>365</v>
      </c>
      <c r="C19" s="544">
        <f t="shared" ref="C19:C20" si="1">C9/$C$15</f>
        <v>0.13366789083674774</v>
      </c>
      <c r="D19" s="545">
        <v>0.13165687653849284</v>
      </c>
      <c r="E19" s="545">
        <v>0.12717166867630506</v>
      </c>
      <c r="F19" s="545">
        <v>0.12917784979853544</v>
      </c>
      <c r="G19" s="546">
        <v>0.12750046810987009</v>
      </c>
      <c r="H19"/>
      <c r="I19" s="547">
        <v>0.11546950912019914</v>
      </c>
      <c r="J19" s="545">
        <v>0.10746395259350637</v>
      </c>
      <c r="K19" s="545">
        <v>0.11248160448914241</v>
      </c>
      <c r="L19" s="546">
        <v>0.11267271353986213</v>
      </c>
    </row>
    <row r="20" spans="1:16" ht="14.4">
      <c r="A20" s="8">
        <v>10</v>
      </c>
      <c r="B20" s="11" t="s">
        <v>143</v>
      </c>
      <c r="C20" s="544">
        <f t="shared" si="1"/>
        <v>0.17402568893874967</v>
      </c>
      <c r="D20" s="545">
        <v>0.17226598917273769</v>
      </c>
      <c r="E20" s="545">
        <v>0.1620642661304055</v>
      </c>
      <c r="F20" s="545">
        <v>0.16728251558405804</v>
      </c>
      <c r="G20" s="546">
        <v>0.16904705140070383</v>
      </c>
      <c r="H20"/>
      <c r="I20" s="547">
        <v>0.16449196511324082</v>
      </c>
      <c r="J20" s="545">
        <v>0.15127865454335521</v>
      </c>
      <c r="K20" s="545">
        <v>0.16016682604457366</v>
      </c>
      <c r="L20" s="546">
        <v>0.16354367718075397</v>
      </c>
    </row>
    <row r="21" spans="1:16" ht="14.4">
      <c r="A21" s="8">
        <v>11</v>
      </c>
      <c r="B21" s="11" t="s">
        <v>367</v>
      </c>
      <c r="C21" s="548">
        <v>0.10570914650952051</v>
      </c>
      <c r="D21" s="545">
        <v>0.10438</v>
      </c>
      <c r="E21" s="545">
        <v>0.10237651474188732</v>
      </c>
      <c r="F21" s="545">
        <v>8.1586869044143639E-2</v>
      </c>
      <c r="G21" s="546">
        <v>8.0115360391270818E-2</v>
      </c>
      <c r="H21"/>
      <c r="I21" s="547">
        <v>8.7437217888264085E-2</v>
      </c>
      <c r="J21" s="545">
        <v>8.4376048905636492E-2</v>
      </c>
      <c r="K21" s="545">
        <v>8.4284124006468383E-2</v>
      </c>
      <c r="L21" s="546">
        <v>8.4254906120513007E-2</v>
      </c>
    </row>
    <row r="22" spans="1:16" ht="14.4">
      <c r="A22" s="8">
        <v>12</v>
      </c>
      <c r="B22" s="11" t="s">
        <v>368</v>
      </c>
      <c r="C22" s="548">
        <v>0.12664580468279402</v>
      </c>
      <c r="D22" s="545">
        <v>0.12530999999999998</v>
      </c>
      <c r="E22" s="545">
        <v>0.12219259736373969</v>
      </c>
      <c r="F22" s="545">
        <v>0.10136578093850904</v>
      </c>
      <c r="G22" s="546">
        <v>9.8497357666880545E-2</v>
      </c>
      <c r="H22"/>
      <c r="I22" s="547">
        <v>0.10835341681463939</v>
      </c>
      <c r="J22" s="545">
        <v>0.1041786369271917</v>
      </c>
      <c r="K22" s="545">
        <v>0.10405552322294871</v>
      </c>
      <c r="L22" s="546">
        <v>0.10401639212568704</v>
      </c>
    </row>
    <row r="23" spans="1:16" ht="14.4">
      <c r="A23" s="8">
        <v>13</v>
      </c>
      <c r="B23" s="11" t="s">
        <v>366</v>
      </c>
      <c r="C23" s="548">
        <v>0.15445719701604868</v>
      </c>
      <c r="D23" s="545">
        <v>0.15311000000000002</v>
      </c>
      <c r="E23" s="545">
        <v>0.15420323239249287</v>
      </c>
      <c r="F23" s="545">
        <v>0.13332750711530567</v>
      </c>
      <c r="G23" s="546">
        <v>0.13606314355584073</v>
      </c>
      <c r="H23"/>
      <c r="I23" s="547">
        <v>0.13613788908618588</v>
      </c>
      <c r="J23" s="545">
        <v>0.13617151590292229</v>
      </c>
      <c r="K23" s="545">
        <v>0.13600736429726495</v>
      </c>
      <c r="L23" s="546">
        <v>0.13595518950091609</v>
      </c>
    </row>
    <row r="24" spans="1:16">
      <c r="A24" s="10"/>
      <c r="B24" s="147" t="s">
        <v>89</v>
      </c>
      <c r="C24" s="326"/>
      <c r="D24" s="326"/>
      <c r="E24" s="326"/>
      <c r="F24" s="326"/>
      <c r="G24" s="327"/>
      <c r="I24" s="535"/>
      <c r="J24" s="326"/>
      <c r="K24" s="326"/>
      <c r="L24" s="327"/>
    </row>
    <row r="25" spans="1:16" ht="15" customHeight="1">
      <c r="A25" s="328">
        <v>14</v>
      </c>
      <c r="B25" s="11" t="s">
        <v>88</v>
      </c>
      <c r="C25" s="550">
        <v>0.19999527941386908</v>
      </c>
      <c r="D25" s="551">
        <v>0.19869999999999999</v>
      </c>
      <c r="E25" s="551">
        <v>0.217</v>
      </c>
      <c r="F25" s="551">
        <v>0.22109999999999999</v>
      </c>
      <c r="G25" s="552">
        <v>0.2243</v>
      </c>
      <c r="H25"/>
      <c r="I25" s="553">
        <v>0.16516382001352556</v>
      </c>
      <c r="J25" s="551">
        <v>0.17369436084755779</v>
      </c>
      <c r="K25" s="551">
        <v>0.17577151248133191</v>
      </c>
      <c r="L25" s="552">
        <v>0.17594187329019867</v>
      </c>
    </row>
    <row r="26" spans="1:16" ht="14.4">
      <c r="A26" s="328">
        <v>15</v>
      </c>
      <c r="B26" s="11" t="s">
        <v>87</v>
      </c>
      <c r="C26" s="550">
        <v>8.9230553744010108E-2</v>
      </c>
      <c r="D26" s="551">
        <v>8.9499999999999996E-2</v>
      </c>
      <c r="E26" s="551">
        <v>9.6799999999999997E-2</v>
      </c>
      <c r="F26" s="551">
        <v>9.8500000000000004E-2</v>
      </c>
      <c r="G26" s="552">
        <v>9.8599999999999993E-2</v>
      </c>
      <c r="H26"/>
      <c r="I26" s="553">
        <v>8.7022423581187697E-2</v>
      </c>
      <c r="J26" s="551">
        <v>9.3747599787266697E-2</v>
      </c>
      <c r="K26" s="551">
        <v>9.5226642487695606E-2</v>
      </c>
      <c r="L26" s="552">
        <v>9.4890187147007657E-2</v>
      </c>
    </row>
    <row r="27" spans="1:16" ht="14.4">
      <c r="A27" s="328">
        <v>16</v>
      </c>
      <c r="B27" s="11" t="s">
        <v>86</v>
      </c>
      <c r="C27" s="550">
        <v>4.535246578869833E-2</v>
      </c>
      <c r="D27" s="551">
        <v>4.3799999999999999E-2</v>
      </c>
      <c r="E27" s="551">
        <v>5.7200000000000001E-2</v>
      </c>
      <c r="F27" s="551">
        <v>5.57E-2</v>
      </c>
      <c r="G27" s="552">
        <v>5.4100000000000002E-2</v>
      </c>
      <c r="H27"/>
      <c r="I27" s="553">
        <v>4.0038876592750676E-2</v>
      </c>
      <c r="J27" s="551">
        <v>3.6082132132482826E-2</v>
      </c>
      <c r="K27" s="551">
        <v>3.7508093087610758E-2</v>
      </c>
      <c r="L27" s="552">
        <v>3.9544071239042078E-2</v>
      </c>
    </row>
    <row r="28" spans="1:16" ht="14.4">
      <c r="A28" s="328">
        <v>17</v>
      </c>
      <c r="B28" s="11" t="s">
        <v>85</v>
      </c>
      <c r="C28" s="550">
        <v>0.11076472566985895</v>
      </c>
      <c r="D28" s="551">
        <v>0.10919999999999999</v>
      </c>
      <c r="E28" s="551">
        <v>0.1202</v>
      </c>
      <c r="F28" s="551">
        <v>0.12259999999999999</v>
      </c>
      <c r="G28" s="552">
        <v>0.12570000000000001</v>
      </c>
      <c r="H28"/>
      <c r="I28" s="553">
        <v>7.8141396432337862E-2</v>
      </c>
      <c r="J28" s="551">
        <v>7.9946761060291097E-2</v>
      </c>
      <c r="K28" s="551">
        <v>8.0544869993636289E-2</v>
      </c>
      <c r="L28" s="552">
        <v>8.1051686143190999E-2</v>
      </c>
    </row>
    <row r="29" spans="1:16" ht="14.4">
      <c r="A29" s="328">
        <v>18</v>
      </c>
      <c r="B29" s="11" t="s">
        <v>167</v>
      </c>
      <c r="C29" s="550">
        <v>1.2539140240782745E-2</v>
      </c>
      <c r="D29" s="551">
        <v>9.1999999999999998E-3</v>
      </c>
      <c r="E29" s="551">
        <v>2.47E-2</v>
      </c>
      <c r="F29" s="551">
        <v>2.3400000000000001E-2</v>
      </c>
      <c r="G29" s="552">
        <v>2.1600000000000001E-2</v>
      </c>
      <c r="H29"/>
      <c r="I29" s="553">
        <v>2.7364499316997783E-2</v>
      </c>
      <c r="J29" s="551">
        <v>1.7382715990512006E-2</v>
      </c>
      <c r="K29" s="551">
        <v>1.5318970784860456E-2</v>
      </c>
      <c r="L29" s="552">
        <v>1.4009968708847517E-2</v>
      </c>
      <c r="P29" s="549"/>
    </row>
    <row r="30" spans="1:16" ht="14.4">
      <c r="A30" s="328">
        <v>19</v>
      </c>
      <c r="B30" s="11" t="s">
        <v>168</v>
      </c>
      <c r="C30" s="550">
        <v>0.10215598934812109</v>
      </c>
      <c r="D30" s="551">
        <v>7.4800000000000005E-2</v>
      </c>
      <c r="E30" s="551">
        <v>0.19750000000000001</v>
      </c>
      <c r="F30" s="551">
        <v>0.186</v>
      </c>
      <c r="G30" s="552">
        <v>0.16980000000000001</v>
      </c>
      <c r="H30"/>
      <c r="I30" s="553">
        <v>0.25243818124239986</v>
      </c>
      <c r="J30" s="551">
        <v>0.15770000000000001</v>
      </c>
      <c r="K30" s="551">
        <v>0.13767808099401715</v>
      </c>
      <c r="L30" s="552">
        <v>0.12374646298410533</v>
      </c>
    </row>
    <row r="31" spans="1:16">
      <c r="A31" s="10"/>
      <c r="B31" s="147" t="s">
        <v>230</v>
      </c>
      <c r="C31" s="326"/>
      <c r="D31" s="326"/>
      <c r="E31" s="326"/>
      <c r="F31" s="326"/>
      <c r="G31" s="327"/>
      <c r="I31" s="535"/>
      <c r="J31" s="326"/>
      <c r="K31" s="326"/>
      <c r="L31" s="327"/>
    </row>
    <row r="32" spans="1:16" ht="14.4">
      <c r="A32" s="328">
        <v>20</v>
      </c>
      <c r="B32" s="11" t="s">
        <v>84</v>
      </c>
      <c r="C32" s="550">
        <v>7.7999999999999996E-3</v>
      </c>
      <c r="D32" s="554">
        <v>8.5000000000000006E-3</v>
      </c>
      <c r="E32" s="554">
        <v>9.78610893620167E-3</v>
      </c>
      <c r="F32" s="554">
        <v>1.3574523406658582E-2</v>
      </c>
      <c r="G32" s="555">
        <v>1.7721574915897424E-2</v>
      </c>
      <c r="H32"/>
      <c r="I32" s="553">
        <v>1.9599999999999999E-2</v>
      </c>
      <c r="J32" s="551">
        <v>2.3871096451951922E-2</v>
      </c>
      <c r="K32" s="551">
        <v>3.2383367417705866E-2</v>
      </c>
      <c r="L32" s="552">
        <v>3.5506758855341561E-2</v>
      </c>
    </row>
    <row r="33" spans="1:12" ht="15" customHeight="1">
      <c r="A33" s="328">
        <v>21</v>
      </c>
      <c r="B33" s="11" t="s">
        <v>750</v>
      </c>
      <c r="C33" s="550">
        <v>2.1999999999999999E-2</v>
      </c>
      <c r="D33" s="551">
        <v>2.41E-2</v>
      </c>
      <c r="E33" s="551">
        <v>2.0500000000000001E-2</v>
      </c>
      <c r="F33" s="551">
        <v>2.4199999999999999E-2</v>
      </c>
      <c r="G33" s="552">
        <v>0.03</v>
      </c>
      <c r="H33"/>
      <c r="I33" s="553">
        <v>3.2106452602982609E-2</v>
      </c>
      <c r="J33" s="551">
        <v>3.3211170692005902E-2</v>
      </c>
      <c r="K33" s="551">
        <v>3.7995556404880039E-2</v>
      </c>
      <c r="L33" s="552">
        <v>4.0650632765261471E-2</v>
      </c>
    </row>
    <row r="34" spans="1:12" ht="14.4">
      <c r="A34" s="328">
        <v>22</v>
      </c>
      <c r="B34" s="11" t="s">
        <v>83</v>
      </c>
      <c r="C34" s="550">
        <v>0.1048</v>
      </c>
      <c r="D34" s="551">
        <v>0.1047</v>
      </c>
      <c r="E34" s="551">
        <v>0.10639999999999999</v>
      </c>
      <c r="F34" s="551">
        <v>9.8699999999999996E-2</v>
      </c>
      <c r="G34" s="552">
        <v>9.9699999999999997E-2</v>
      </c>
      <c r="H34"/>
      <c r="I34" s="553">
        <v>0.10440000000000001</v>
      </c>
      <c r="J34" s="551">
        <v>0.10606337289064827</v>
      </c>
      <c r="K34" s="551">
        <v>9.8731863989680035E-2</v>
      </c>
      <c r="L34" s="552">
        <v>9.8676280063083432E-2</v>
      </c>
    </row>
    <row r="35" spans="1:12" ht="15" customHeight="1">
      <c r="A35" s="328">
        <v>23</v>
      </c>
      <c r="B35" s="11" t="s">
        <v>82</v>
      </c>
      <c r="C35" s="550">
        <v>0.15959999999999999</v>
      </c>
      <c r="D35" s="551">
        <v>0.1651</v>
      </c>
      <c r="E35" s="551">
        <v>0.16889999999999999</v>
      </c>
      <c r="F35" s="551">
        <v>0.13589999999999999</v>
      </c>
      <c r="G35" s="552">
        <v>0.12230000000000001</v>
      </c>
      <c r="H35"/>
      <c r="I35" s="553">
        <v>0.16300000000000001</v>
      </c>
      <c r="J35" s="551">
        <v>0.16718068949181306</v>
      </c>
      <c r="K35" s="551">
        <v>0.13363272851405159</v>
      </c>
      <c r="L35" s="552">
        <v>0.11809891384951869</v>
      </c>
    </row>
    <row r="36" spans="1:12" ht="14.4">
      <c r="A36" s="328">
        <v>24</v>
      </c>
      <c r="B36" s="11" t="s">
        <v>81</v>
      </c>
      <c r="C36" s="550">
        <v>1.47E-2</v>
      </c>
      <c r="D36" s="551">
        <v>9.7000000000000003E-3</v>
      </c>
      <c r="E36" s="551">
        <v>0.25</v>
      </c>
      <c r="F36" s="551">
        <v>0.17699999999999999</v>
      </c>
      <c r="G36" s="552">
        <v>0.13800000000000001</v>
      </c>
      <c r="H36"/>
      <c r="I36" s="553">
        <v>5.2700000000000004E-3</v>
      </c>
      <c r="J36" s="551">
        <v>0.20085356712840197</v>
      </c>
      <c r="K36" s="551">
        <v>0.12773668784046888</v>
      </c>
      <c r="L36" s="552">
        <v>8.8302054385147599E-2</v>
      </c>
    </row>
    <row r="37" spans="1:12" ht="15" customHeight="1">
      <c r="A37" s="10"/>
      <c r="B37" s="147" t="s">
        <v>231</v>
      </c>
      <c r="C37" s="326"/>
      <c r="D37" s="326"/>
      <c r="E37" s="326"/>
      <c r="F37" s="326"/>
      <c r="G37" s="327"/>
      <c r="I37" s="535"/>
      <c r="J37" s="326"/>
      <c r="K37" s="326"/>
      <c r="L37" s="327"/>
    </row>
    <row r="38" spans="1:12" ht="15" customHeight="1">
      <c r="A38" s="328">
        <v>25</v>
      </c>
      <c r="B38" s="11" t="s">
        <v>80</v>
      </c>
      <c r="C38" s="550">
        <v>0.1237</v>
      </c>
      <c r="D38" s="550">
        <v>0.15390000000000001</v>
      </c>
      <c r="E38" s="550">
        <v>0.1338</v>
      </c>
      <c r="F38" s="550">
        <v>0.1288</v>
      </c>
      <c r="G38" s="556">
        <v>0.14560000000000001</v>
      </c>
      <c r="H38"/>
      <c r="I38" s="557">
        <v>0.13250000000000001</v>
      </c>
      <c r="J38" s="550">
        <v>0.13224218771062179</v>
      </c>
      <c r="K38" s="550">
        <v>0.12482751523173331</v>
      </c>
      <c r="L38" s="556">
        <v>0.14015702748192332</v>
      </c>
    </row>
    <row r="39" spans="1:12" ht="15" customHeight="1">
      <c r="A39" s="328">
        <v>26</v>
      </c>
      <c r="B39" s="11" t="s">
        <v>79</v>
      </c>
      <c r="C39" s="550">
        <v>0.27900000000000003</v>
      </c>
      <c r="D39" s="550">
        <v>0.27389999999999998</v>
      </c>
      <c r="E39" s="550">
        <v>0.28139999999999998</v>
      </c>
      <c r="F39" s="550">
        <v>0.2379</v>
      </c>
      <c r="G39" s="556">
        <v>0.20399999999999999</v>
      </c>
      <c r="H39"/>
      <c r="I39" s="557">
        <v>0.26879999999999998</v>
      </c>
      <c r="J39" s="550">
        <v>0.27629870187215017</v>
      </c>
      <c r="K39" s="550">
        <v>0.23418379388086483</v>
      </c>
      <c r="L39" s="556">
        <v>0.20049307317463336</v>
      </c>
    </row>
    <row r="40" spans="1:12" ht="15" customHeight="1">
      <c r="A40" s="328">
        <v>27</v>
      </c>
      <c r="B40" s="11" t="s">
        <v>78</v>
      </c>
      <c r="C40" s="550">
        <v>0.1143</v>
      </c>
      <c r="D40" s="550">
        <v>9.5200000000000007E-2</v>
      </c>
      <c r="E40" s="550">
        <v>0.10299999999999999</v>
      </c>
      <c r="F40" s="550">
        <v>9.1200000000000003E-2</v>
      </c>
      <c r="G40" s="556">
        <v>7.3700000000000002E-2</v>
      </c>
      <c r="H40"/>
      <c r="I40" s="557">
        <v>9.3948753316354827E-2</v>
      </c>
      <c r="J40" s="550">
        <v>0.10219181016612465</v>
      </c>
      <c r="K40" s="550">
        <v>8.9523857496763184E-2</v>
      </c>
      <c r="L40" s="556">
        <v>7.2148819076422246E-2</v>
      </c>
    </row>
    <row r="41" spans="1:12" ht="15" customHeight="1">
      <c r="A41" s="329"/>
      <c r="B41" s="147" t="s">
        <v>272</v>
      </c>
      <c r="C41" s="326"/>
      <c r="D41" s="326"/>
      <c r="E41" s="326"/>
      <c r="F41" s="326"/>
      <c r="G41" s="327"/>
      <c r="I41" s="535"/>
      <c r="J41" s="326"/>
      <c r="K41" s="326"/>
      <c r="L41" s="327"/>
    </row>
    <row r="42" spans="1:12" ht="14.4">
      <c r="A42" s="328">
        <v>28</v>
      </c>
      <c r="B42" s="11" t="s">
        <v>255</v>
      </c>
      <c r="C42" s="558">
        <v>250231994.76926982</v>
      </c>
      <c r="D42" s="558">
        <v>286397601.06285328</v>
      </c>
      <c r="E42" s="558">
        <v>304823527.32999998</v>
      </c>
      <c r="F42" s="558">
        <v>228900364.54000002</v>
      </c>
      <c r="G42" s="559">
        <v>262558416.68000001</v>
      </c>
      <c r="H42"/>
      <c r="I42" s="560">
        <v>250231994.76926982</v>
      </c>
      <c r="J42" s="560">
        <v>253102321.96526882</v>
      </c>
      <c r="K42" s="561">
        <v>227422413.58679929</v>
      </c>
      <c r="L42" s="561">
        <v>189194327.39918065</v>
      </c>
    </row>
    <row r="43" spans="1:12" ht="15" customHeight="1">
      <c r="A43" s="328">
        <v>29</v>
      </c>
      <c r="B43" s="11" t="s">
        <v>267</v>
      </c>
      <c r="C43" s="558">
        <v>134230427.80348599</v>
      </c>
      <c r="D43" s="562">
        <v>155335520.8722477</v>
      </c>
      <c r="E43" s="562">
        <v>132521210.6609405</v>
      </c>
      <c r="F43" s="562">
        <v>112292667.83324744</v>
      </c>
      <c r="G43" s="563">
        <v>103374574.01169285</v>
      </c>
      <c r="H43"/>
      <c r="I43" s="560">
        <v>135321272.21771568</v>
      </c>
      <c r="J43" s="560">
        <v>119163803.34261332</v>
      </c>
      <c r="K43" s="564">
        <v>117655519.6043977</v>
      </c>
      <c r="L43" s="564">
        <v>116937133.12561239</v>
      </c>
    </row>
    <row r="44" spans="1:12" ht="15" customHeight="1">
      <c r="A44" s="364">
        <v>30</v>
      </c>
      <c r="B44" s="365" t="s">
        <v>256</v>
      </c>
      <c r="C44" s="565">
        <v>1.8641972529180246</v>
      </c>
      <c r="D44" s="566">
        <v>1.8437354151494734</v>
      </c>
      <c r="E44" s="567">
        <v>2.3001867082990977</v>
      </c>
      <c r="F44" s="566">
        <v>2.0384266306675776</v>
      </c>
      <c r="G44" s="568">
        <v>2.5398742310686728</v>
      </c>
      <c r="H44"/>
      <c r="I44" s="569">
        <v>1.8491696883153492</v>
      </c>
      <c r="J44" s="570">
        <v>2.1239866038646209</v>
      </c>
      <c r="K44" s="550">
        <v>1.9329515041153986</v>
      </c>
      <c r="L44" s="550">
        <v>1.6179148773550869</v>
      </c>
    </row>
    <row r="45" spans="1:12" ht="15" customHeight="1">
      <c r="A45" s="364"/>
      <c r="B45" s="147" t="s">
        <v>374</v>
      </c>
      <c r="C45" s="366"/>
      <c r="D45" s="367"/>
      <c r="E45" s="367"/>
      <c r="F45" s="367"/>
      <c r="G45" s="368"/>
      <c r="I45" s="539"/>
      <c r="J45" s="540"/>
      <c r="K45" s="540"/>
      <c r="L45" s="368"/>
    </row>
    <row r="46" spans="1:12" ht="15" customHeight="1">
      <c r="A46" s="364">
        <v>31</v>
      </c>
      <c r="B46" s="365" t="s">
        <v>381</v>
      </c>
      <c r="C46" s="571">
        <v>1699059876.4952438</v>
      </c>
      <c r="D46" s="572">
        <v>1727302081.0853016</v>
      </c>
      <c r="E46" s="572">
        <v>1662866748.7295167</v>
      </c>
      <c r="F46" s="572">
        <v>1619600342.7434216</v>
      </c>
      <c r="G46" s="573">
        <v>1563403920.9416251</v>
      </c>
      <c r="H46"/>
      <c r="I46" s="574">
        <v>1708303840.8290756</v>
      </c>
      <c r="J46" s="571">
        <v>1636746781.3146591</v>
      </c>
      <c r="K46" s="572">
        <v>1592112802.0434217</v>
      </c>
      <c r="L46" s="572">
        <v>1550796936.0216255</v>
      </c>
    </row>
    <row r="47" spans="1:12" ht="15" customHeight="1">
      <c r="A47" s="364">
        <v>32</v>
      </c>
      <c r="B47" s="365" t="s">
        <v>396</v>
      </c>
      <c r="C47" s="571">
        <v>1360891625.4603355</v>
      </c>
      <c r="D47" s="572">
        <v>1301909354.2163918</v>
      </c>
      <c r="E47" s="572">
        <v>1309431695.3216999</v>
      </c>
      <c r="F47" s="572">
        <v>1257343908.0587311</v>
      </c>
      <c r="G47" s="573">
        <v>1193959299.353611</v>
      </c>
      <c r="H47"/>
      <c r="I47" s="574">
        <v>1307961758.9002852</v>
      </c>
      <c r="J47" s="571">
        <v>1302558651.2794161</v>
      </c>
      <c r="K47" s="572">
        <v>1233142259.7309997</v>
      </c>
      <c r="L47" s="572">
        <v>1176047953.6276989</v>
      </c>
    </row>
    <row r="48" spans="1:12" ht="15" thickBot="1">
      <c r="A48" s="330">
        <v>33</v>
      </c>
      <c r="B48" s="149" t="s">
        <v>414</v>
      </c>
      <c r="C48" s="575">
        <v>1.248490213848233</v>
      </c>
      <c r="D48" s="576">
        <v>1.3267452726191911</v>
      </c>
      <c r="E48" s="576">
        <v>1.269914845249706</v>
      </c>
      <c r="F48" s="576">
        <v>1.2881124506691206</v>
      </c>
      <c r="G48" s="577">
        <v>1.3094281536967174</v>
      </c>
      <c r="H48"/>
      <c r="I48" s="578">
        <v>1.3060808767569718</v>
      </c>
      <c r="J48" s="579">
        <v>1.2565628270995648</v>
      </c>
      <c r="K48" s="576">
        <v>1.2911022953594411</v>
      </c>
      <c r="L48" s="576">
        <v>1.3186511070725955</v>
      </c>
    </row>
    <row r="49" spans="1:2">
      <c r="A49" s="15"/>
    </row>
    <row r="50" spans="1:2" ht="39.6">
      <c r="B50" s="207" t="s">
        <v>710</v>
      </c>
    </row>
    <row r="51" spans="1:2" ht="52.8">
      <c r="B51" s="207" t="s">
        <v>271</v>
      </c>
    </row>
    <row r="53" spans="1:2" ht="14.4">
      <c r="B53" s="206"/>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1" zoomScale="90" zoomScaleNormal="90" workbookViewId="0">
      <selection activeCell="B33" sqref="B33"/>
    </sheetView>
  </sheetViews>
  <sheetFormatPr defaultColWidth="9.21875" defaultRowHeight="12"/>
  <cols>
    <col min="1" max="1" width="11.77734375" style="371" bestFit="1" customWidth="1"/>
    <col min="2" max="2" width="105.21875" style="371" bestFit="1" customWidth="1"/>
    <col min="3" max="3" width="13.77734375" style="371" bestFit="1" customWidth="1"/>
    <col min="4" max="4" width="17.44140625" style="371" customWidth="1"/>
    <col min="5" max="5" width="19.21875" style="371" customWidth="1"/>
    <col min="6" max="6" width="19.5546875" style="371" customWidth="1"/>
    <col min="7" max="7" width="26.6640625" style="371" customWidth="1"/>
    <col min="8" max="8" width="22.21875" style="371" customWidth="1"/>
    <col min="9" max="16384" width="9.21875" style="371"/>
  </cols>
  <sheetData>
    <row r="1" spans="1:8" ht="13.8">
      <c r="A1" s="369" t="s">
        <v>31</v>
      </c>
      <c r="B1" s="452" t="str">
        <f>'Info '!C2</f>
        <v>JSC "CREDOBANK"</v>
      </c>
    </row>
    <row r="2" spans="1:8">
      <c r="A2" s="369" t="s">
        <v>32</v>
      </c>
      <c r="B2" s="451">
        <f>'1. key ratios '!B2</f>
        <v>45107</v>
      </c>
    </row>
    <row r="3" spans="1:8">
      <c r="A3" s="370" t="s">
        <v>417</v>
      </c>
    </row>
    <row r="5" spans="1:8" ht="12" customHeight="1">
      <c r="A5" s="765" t="s">
        <v>418</v>
      </c>
      <c r="B5" s="766"/>
      <c r="C5" s="771" t="s">
        <v>419</v>
      </c>
      <c r="D5" s="772"/>
      <c r="E5" s="772"/>
      <c r="F5" s="772"/>
      <c r="G5" s="772"/>
      <c r="H5" s="773"/>
    </row>
    <row r="6" spans="1:8">
      <c r="A6" s="767"/>
      <c r="B6" s="768"/>
      <c r="C6" s="774"/>
      <c r="D6" s="775"/>
      <c r="E6" s="775"/>
      <c r="F6" s="775"/>
      <c r="G6" s="775"/>
      <c r="H6" s="776"/>
    </row>
    <row r="7" spans="1:8">
      <c r="A7" s="769"/>
      <c r="B7" s="770"/>
      <c r="C7" s="450" t="s">
        <v>420</v>
      </c>
      <c r="D7" s="450" t="s">
        <v>421</v>
      </c>
      <c r="E7" s="450" t="s">
        <v>422</v>
      </c>
      <c r="F7" s="450" t="s">
        <v>423</v>
      </c>
      <c r="G7" s="450" t="s">
        <v>424</v>
      </c>
      <c r="H7" s="450" t="s">
        <v>65</v>
      </c>
    </row>
    <row r="8" spans="1:8">
      <c r="A8" s="446">
        <v>1</v>
      </c>
      <c r="B8" s="445" t="s">
        <v>52</v>
      </c>
      <c r="C8" s="648">
        <v>32777568.890000001</v>
      </c>
      <c r="D8" s="648">
        <v>27006472.600000001</v>
      </c>
      <c r="E8" s="648">
        <v>2992918</v>
      </c>
      <c r="F8" s="648">
        <v>19745285</v>
      </c>
      <c r="G8" s="648">
        <v>59501330.729999997</v>
      </c>
      <c r="H8" s="648">
        <f t="shared" ref="H8:H21" si="0">SUM(C8:G8)</f>
        <v>142023575.22</v>
      </c>
    </row>
    <row r="9" spans="1:8">
      <c r="A9" s="446">
        <v>2</v>
      </c>
      <c r="B9" s="445" t="s">
        <v>53</v>
      </c>
      <c r="C9" s="648"/>
      <c r="D9" s="648"/>
      <c r="E9" s="648"/>
      <c r="F9" s="648"/>
      <c r="G9" s="648"/>
      <c r="H9" s="648">
        <f t="shared" si="0"/>
        <v>0</v>
      </c>
    </row>
    <row r="10" spans="1:8">
      <c r="A10" s="446">
        <v>3</v>
      </c>
      <c r="B10" s="445" t="s">
        <v>165</v>
      </c>
      <c r="C10" s="648"/>
      <c r="D10" s="648">
        <v>26125726.030000001</v>
      </c>
      <c r="E10" s="648"/>
      <c r="F10" s="648"/>
      <c r="G10" s="648"/>
      <c r="H10" s="648">
        <f t="shared" si="0"/>
        <v>26125726.030000001</v>
      </c>
    </row>
    <row r="11" spans="1:8">
      <c r="A11" s="446">
        <v>4</v>
      </c>
      <c r="B11" s="445" t="s">
        <v>54</v>
      </c>
      <c r="C11" s="648"/>
      <c r="D11" s="648"/>
      <c r="E11" s="648"/>
      <c r="F11" s="648"/>
      <c r="G11" s="648"/>
      <c r="H11" s="648">
        <f t="shared" si="0"/>
        <v>0</v>
      </c>
    </row>
    <row r="12" spans="1:8">
      <c r="A12" s="446">
        <v>5</v>
      </c>
      <c r="B12" s="445" t="s">
        <v>55</v>
      </c>
      <c r="C12" s="648"/>
      <c r="D12" s="648"/>
      <c r="E12" s="648"/>
      <c r="F12" s="648"/>
      <c r="G12" s="648"/>
      <c r="H12" s="648">
        <f t="shared" si="0"/>
        <v>0</v>
      </c>
    </row>
    <row r="13" spans="1:8">
      <c r="A13" s="446">
        <v>6</v>
      </c>
      <c r="B13" s="445" t="s">
        <v>56</v>
      </c>
      <c r="C13" s="648">
        <v>102925233.43000001</v>
      </c>
      <c r="D13" s="648"/>
      <c r="E13" s="648"/>
      <c r="F13" s="648"/>
      <c r="G13" s="648"/>
      <c r="H13" s="648">
        <f t="shared" si="0"/>
        <v>102925233.43000001</v>
      </c>
    </row>
    <row r="14" spans="1:8">
      <c r="A14" s="446">
        <v>7</v>
      </c>
      <c r="B14" s="445" t="s">
        <v>57</v>
      </c>
      <c r="C14" s="648"/>
      <c r="D14" s="648">
        <v>2478821.2599999998</v>
      </c>
      <c r="E14" s="648">
        <v>6857745.4699999997</v>
      </c>
      <c r="F14" s="648">
        <v>15214638.002</v>
      </c>
      <c r="G14" s="648"/>
      <c r="H14" s="648">
        <f t="shared" si="0"/>
        <v>24551204.732000001</v>
      </c>
    </row>
    <row r="15" spans="1:8">
      <c r="A15" s="446">
        <v>8</v>
      </c>
      <c r="B15" s="447" t="s">
        <v>58</v>
      </c>
      <c r="C15" s="648">
        <v>17320088.951027997</v>
      </c>
      <c r="D15" s="648">
        <v>311731587.11254799</v>
      </c>
      <c r="E15" s="648">
        <v>1113683643.331759</v>
      </c>
      <c r="F15" s="648">
        <v>276802122.84922695</v>
      </c>
      <c r="G15" s="648">
        <v>28450.269999999749</v>
      </c>
      <c r="H15" s="648">
        <f t="shared" si="0"/>
        <v>1719565892.5145619</v>
      </c>
    </row>
    <row r="16" spans="1:8">
      <c r="A16" s="446">
        <v>9</v>
      </c>
      <c r="B16" s="445" t="s">
        <v>59</v>
      </c>
      <c r="C16" s="648">
        <v>99035.578971976502</v>
      </c>
      <c r="D16" s="648">
        <v>1834541.2974598915</v>
      </c>
      <c r="E16" s="648">
        <v>29919859.968218714</v>
      </c>
      <c r="F16" s="648">
        <v>62633026.738769174</v>
      </c>
      <c r="G16" s="648">
        <v>0</v>
      </c>
      <c r="H16" s="648">
        <f t="shared" si="0"/>
        <v>94486463.583419755</v>
      </c>
    </row>
    <row r="17" spans="1:8">
      <c r="A17" s="446">
        <v>10</v>
      </c>
      <c r="B17" s="449" t="s">
        <v>432</v>
      </c>
      <c r="C17" s="648">
        <v>2646499.1299999985</v>
      </c>
      <c r="D17" s="648">
        <v>650107.55000000098</v>
      </c>
      <c r="E17" s="648">
        <v>1550587.0300000035</v>
      </c>
      <c r="F17" s="648">
        <v>1171589.5499999993</v>
      </c>
      <c r="G17" s="648">
        <v>19360.979999999749</v>
      </c>
      <c r="H17" s="648">
        <f t="shared" si="0"/>
        <v>6038144.2400000012</v>
      </c>
    </row>
    <row r="18" spans="1:8">
      <c r="A18" s="446">
        <v>11</v>
      </c>
      <c r="B18" s="445" t="s">
        <v>61</v>
      </c>
      <c r="C18" s="648"/>
      <c r="D18" s="648"/>
      <c r="E18" s="648"/>
      <c r="F18" s="648"/>
      <c r="G18" s="648"/>
      <c r="H18" s="648">
        <f t="shared" si="0"/>
        <v>0</v>
      </c>
    </row>
    <row r="19" spans="1:8">
      <c r="A19" s="446">
        <v>12</v>
      </c>
      <c r="B19" s="445" t="s">
        <v>62</v>
      </c>
      <c r="C19" s="648"/>
      <c r="D19" s="648"/>
      <c r="E19" s="648"/>
      <c r="F19" s="648"/>
      <c r="G19" s="648"/>
      <c r="H19" s="648">
        <f t="shared" si="0"/>
        <v>0</v>
      </c>
    </row>
    <row r="20" spans="1:8">
      <c r="A20" s="448">
        <v>13</v>
      </c>
      <c r="B20" s="447" t="s">
        <v>145</v>
      </c>
      <c r="C20" s="648"/>
      <c r="D20" s="648"/>
      <c r="E20" s="648"/>
      <c r="F20" s="648"/>
      <c r="G20" s="648"/>
      <c r="H20" s="648">
        <f t="shared" si="0"/>
        <v>0</v>
      </c>
    </row>
    <row r="21" spans="1:8">
      <c r="A21" s="446">
        <v>14</v>
      </c>
      <c r="B21" s="445" t="s">
        <v>64</v>
      </c>
      <c r="C21" s="649">
        <v>77426307.310000002</v>
      </c>
      <c r="D21" s="649">
        <v>26632339.25</v>
      </c>
      <c r="E21" s="649">
        <v>9625982.75</v>
      </c>
      <c r="F21" s="649"/>
      <c r="G21" s="649">
        <v>38702281.140000001</v>
      </c>
      <c r="H21" s="648">
        <f t="shared" si="0"/>
        <v>152386910.44999999</v>
      </c>
    </row>
    <row r="22" spans="1:8">
      <c r="A22" s="444">
        <v>15</v>
      </c>
      <c r="B22" s="443" t="s">
        <v>65</v>
      </c>
      <c r="C22" s="648">
        <f t="shared" ref="C22:G22" si="1">SUM(C18:C21)+SUM(C8:C16)</f>
        <v>230548234.15999997</v>
      </c>
      <c r="D22" s="648">
        <f t="shared" si="1"/>
        <v>395809487.55000788</v>
      </c>
      <c r="E22" s="648">
        <f t="shared" si="1"/>
        <v>1163080149.5199778</v>
      </c>
      <c r="F22" s="648">
        <f t="shared" si="1"/>
        <v>374395072.5899961</v>
      </c>
      <c r="G22" s="648">
        <f t="shared" si="1"/>
        <v>98232062.140000001</v>
      </c>
      <c r="H22" s="648">
        <f t="shared" ref="H22" si="2">SUM(H18:H21)+SUM(H8:H16)</f>
        <v>2262065005.9599814</v>
      </c>
    </row>
    <row r="26" spans="1:8" ht="24">
      <c r="B26" s="374" t="s">
        <v>519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topLeftCell="B1" zoomScale="80" zoomScaleNormal="80" workbookViewId="0">
      <selection activeCell="B29" sqref="B29"/>
    </sheetView>
  </sheetViews>
  <sheetFormatPr defaultColWidth="9.21875" defaultRowHeight="12"/>
  <cols>
    <col min="1" max="1" width="11.77734375" style="453" bestFit="1" customWidth="1"/>
    <col min="2" max="2" width="86.77734375" style="371" customWidth="1"/>
    <col min="3" max="4" width="31.5546875" style="371" customWidth="1"/>
    <col min="5" max="7" width="22.21875" style="371" customWidth="1"/>
    <col min="8" max="8" width="41.44140625" style="371" customWidth="1"/>
    <col min="9" max="16384" width="9.21875" style="371"/>
  </cols>
  <sheetData>
    <row r="1" spans="1:8" ht="13.8">
      <c r="A1" s="369" t="s">
        <v>31</v>
      </c>
      <c r="B1" s="452" t="str">
        <f>'Info '!C2</f>
        <v>JSC "CREDOBANK"</v>
      </c>
      <c r="C1" s="466"/>
      <c r="D1" s="466"/>
      <c r="E1" s="466"/>
      <c r="F1" s="466"/>
      <c r="G1" s="466"/>
      <c r="H1" s="466"/>
    </row>
    <row r="2" spans="1:8">
      <c r="A2" s="369" t="s">
        <v>32</v>
      </c>
      <c r="B2" s="451">
        <f>'1. key ratios '!B2</f>
        <v>45107</v>
      </c>
      <c r="C2" s="466"/>
      <c r="D2" s="466"/>
      <c r="E2" s="466"/>
      <c r="F2" s="466"/>
      <c r="G2" s="466"/>
      <c r="H2" s="466"/>
    </row>
    <row r="3" spans="1:8">
      <c r="A3" s="370" t="s">
        <v>425</v>
      </c>
      <c r="B3" s="466"/>
      <c r="C3" s="466"/>
      <c r="D3" s="466"/>
      <c r="E3" s="466"/>
      <c r="F3" s="466"/>
      <c r="G3" s="466"/>
      <c r="H3" s="466"/>
    </row>
    <row r="4" spans="1:8">
      <c r="A4" s="467"/>
      <c r="B4" s="466"/>
      <c r="C4" s="465" t="s">
        <v>0</v>
      </c>
      <c r="D4" s="465" t="s">
        <v>1</v>
      </c>
      <c r="E4" s="465" t="s">
        <v>2</v>
      </c>
      <c r="F4" s="465" t="s">
        <v>3</v>
      </c>
      <c r="G4" s="465" t="s">
        <v>4</v>
      </c>
      <c r="H4" s="465" t="s">
        <v>6</v>
      </c>
    </row>
    <row r="5" spans="1:8" ht="34.049999999999997" customHeight="1">
      <c r="A5" s="765" t="s">
        <v>426</v>
      </c>
      <c r="B5" s="766"/>
      <c r="C5" s="779" t="s">
        <v>427</v>
      </c>
      <c r="D5" s="779"/>
      <c r="E5" s="779" t="s">
        <v>664</v>
      </c>
      <c r="F5" s="777" t="s">
        <v>428</v>
      </c>
      <c r="G5" s="777" t="s">
        <v>429</v>
      </c>
      <c r="H5" s="463" t="s">
        <v>663</v>
      </c>
    </row>
    <row r="6" spans="1:8" ht="24">
      <c r="A6" s="769"/>
      <c r="B6" s="770"/>
      <c r="C6" s="464" t="s">
        <v>430</v>
      </c>
      <c r="D6" s="464" t="s">
        <v>431</v>
      </c>
      <c r="E6" s="779"/>
      <c r="F6" s="778"/>
      <c r="G6" s="778"/>
      <c r="H6" s="463" t="s">
        <v>662</v>
      </c>
    </row>
    <row r="7" spans="1:8">
      <c r="A7" s="461">
        <v>1</v>
      </c>
      <c r="B7" s="445" t="s">
        <v>52</v>
      </c>
      <c r="C7" s="650"/>
      <c r="D7" s="650">
        <v>142023575.22</v>
      </c>
      <c r="E7" s="650"/>
      <c r="F7" s="650"/>
      <c r="G7" s="650"/>
      <c r="H7" s="454">
        <f>C7+D7-E7-F7</f>
        <v>142023575.22</v>
      </c>
    </row>
    <row r="8" spans="1:8">
      <c r="A8" s="461">
        <v>2</v>
      </c>
      <c r="B8" s="445" t="s">
        <v>53</v>
      </c>
      <c r="C8" s="650"/>
      <c r="D8" s="650">
        <v>0</v>
      </c>
      <c r="E8" s="650"/>
      <c r="F8" s="650"/>
      <c r="G8" s="650"/>
      <c r="H8" s="454">
        <f t="shared" ref="H8:H20" si="0">C8+D8-E8-F8</f>
        <v>0</v>
      </c>
    </row>
    <row r="9" spans="1:8">
      <c r="A9" s="461">
        <v>3</v>
      </c>
      <c r="B9" s="445" t="s">
        <v>165</v>
      </c>
      <c r="C9" s="650"/>
      <c r="D9" s="650">
        <v>26125726.030000001</v>
      </c>
      <c r="E9" s="650"/>
      <c r="F9" s="650"/>
      <c r="G9" s="650"/>
      <c r="H9" s="454">
        <f t="shared" si="0"/>
        <v>26125726.030000001</v>
      </c>
    </row>
    <row r="10" spans="1:8">
      <c r="A10" s="461">
        <v>4</v>
      </c>
      <c r="B10" s="445" t="s">
        <v>54</v>
      </c>
      <c r="C10" s="650"/>
      <c r="D10" s="650">
        <v>0</v>
      </c>
      <c r="E10" s="650"/>
      <c r="F10" s="650"/>
      <c r="G10" s="650"/>
      <c r="H10" s="454">
        <f t="shared" si="0"/>
        <v>0</v>
      </c>
    </row>
    <row r="11" spans="1:8">
      <c r="A11" s="461">
        <v>5</v>
      </c>
      <c r="B11" s="445" t="s">
        <v>55</v>
      </c>
      <c r="C11" s="650"/>
      <c r="D11" s="650">
        <v>0</v>
      </c>
      <c r="E11" s="650"/>
      <c r="F11" s="650"/>
      <c r="G11" s="650"/>
      <c r="H11" s="454">
        <f t="shared" si="0"/>
        <v>0</v>
      </c>
    </row>
    <row r="12" spans="1:8">
      <c r="A12" s="461">
        <v>6</v>
      </c>
      <c r="B12" s="445" t="s">
        <v>56</v>
      </c>
      <c r="C12" s="650"/>
      <c r="D12" s="650">
        <v>102925233.43000001</v>
      </c>
      <c r="E12" s="650"/>
      <c r="F12" s="650"/>
      <c r="G12" s="650"/>
      <c r="H12" s="454">
        <f t="shared" si="0"/>
        <v>102925233.43000001</v>
      </c>
    </row>
    <row r="13" spans="1:8">
      <c r="A13" s="461">
        <v>7</v>
      </c>
      <c r="B13" s="445" t="s">
        <v>57</v>
      </c>
      <c r="C13" s="650"/>
      <c r="D13" s="650">
        <v>24623099</v>
      </c>
      <c r="E13" s="650">
        <v>71894</v>
      </c>
      <c r="F13" s="650"/>
      <c r="G13" s="651"/>
      <c r="H13" s="454">
        <f t="shared" si="0"/>
        <v>24551205</v>
      </c>
    </row>
    <row r="14" spans="1:8">
      <c r="A14" s="461">
        <v>8</v>
      </c>
      <c r="B14" s="447" t="s">
        <v>58</v>
      </c>
      <c r="C14" s="650">
        <v>15053101.393300001</v>
      </c>
      <c r="D14" s="651">
        <v>1746041948.6066999</v>
      </c>
      <c r="E14" s="650">
        <v>41529156</v>
      </c>
      <c r="F14" s="650"/>
      <c r="G14" s="651">
        <v>17273428</v>
      </c>
      <c r="H14" s="454">
        <f t="shared" si="0"/>
        <v>1719565894</v>
      </c>
    </row>
    <row r="15" spans="1:8">
      <c r="A15" s="461">
        <v>9</v>
      </c>
      <c r="B15" s="445" t="s">
        <v>59</v>
      </c>
      <c r="C15" s="650"/>
      <c r="D15" s="650">
        <v>95105484</v>
      </c>
      <c r="E15" s="650">
        <v>619021</v>
      </c>
      <c r="F15" s="650"/>
      <c r="G15" s="651"/>
      <c r="H15" s="454">
        <f t="shared" si="0"/>
        <v>94486463</v>
      </c>
    </row>
    <row r="16" spans="1:8">
      <c r="A16" s="461">
        <v>10</v>
      </c>
      <c r="B16" s="449" t="s">
        <v>432</v>
      </c>
      <c r="C16" s="650">
        <v>15053101.393300001</v>
      </c>
      <c r="D16" s="650">
        <v>4123732.6066999999</v>
      </c>
      <c r="E16" s="650">
        <v>13138689</v>
      </c>
      <c r="F16" s="650"/>
      <c r="G16" s="651">
        <v>17273428</v>
      </c>
      <c r="H16" s="454">
        <f t="shared" si="0"/>
        <v>6038145</v>
      </c>
    </row>
    <row r="17" spans="1:8">
      <c r="A17" s="461">
        <v>11</v>
      </c>
      <c r="B17" s="445" t="s">
        <v>61</v>
      </c>
      <c r="C17" s="650"/>
      <c r="D17" s="650"/>
      <c r="E17" s="650"/>
      <c r="F17" s="650"/>
      <c r="G17" s="650"/>
      <c r="H17" s="454">
        <f t="shared" si="0"/>
        <v>0</v>
      </c>
    </row>
    <row r="18" spans="1:8">
      <c r="A18" s="461">
        <v>12</v>
      </c>
      <c r="B18" s="445" t="s">
        <v>62</v>
      </c>
      <c r="C18" s="650"/>
      <c r="D18" s="650"/>
      <c r="E18" s="650"/>
      <c r="F18" s="650"/>
      <c r="G18" s="650"/>
      <c r="H18" s="454">
        <f t="shared" si="0"/>
        <v>0</v>
      </c>
    </row>
    <row r="19" spans="1:8">
      <c r="A19" s="462">
        <v>13</v>
      </c>
      <c r="B19" s="447" t="s">
        <v>145</v>
      </c>
      <c r="C19" s="650"/>
      <c r="D19" s="650"/>
      <c r="E19" s="650"/>
      <c r="F19" s="650"/>
      <c r="G19" s="650"/>
      <c r="H19" s="454">
        <f t="shared" si="0"/>
        <v>0</v>
      </c>
    </row>
    <row r="20" spans="1:8">
      <c r="A20" s="461">
        <v>14</v>
      </c>
      <c r="B20" s="445" t="s">
        <v>64</v>
      </c>
      <c r="C20" s="651"/>
      <c r="D20" s="651">
        <v>175265975.35000002</v>
      </c>
      <c r="E20" s="651">
        <v>4021102</v>
      </c>
      <c r="F20" s="650"/>
      <c r="G20" s="650"/>
      <c r="H20" s="454">
        <f t="shared" si="0"/>
        <v>171244873.35000002</v>
      </c>
    </row>
    <row r="21" spans="1:8" s="458" customFormat="1">
      <c r="A21" s="460">
        <v>15</v>
      </c>
      <c r="B21" s="459" t="s">
        <v>65</v>
      </c>
      <c r="C21" s="652">
        <f t="shared" ref="C21:G21" si="1">SUM(C7:C15)+SUM(C17:C20)</f>
        <v>15053101.393300001</v>
      </c>
      <c r="D21" s="652">
        <f t="shared" si="1"/>
        <v>2312111041.6367002</v>
      </c>
      <c r="E21" s="652">
        <f t="shared" si="1"/>
        <v>46241173</v>
      </c>
      <c r="F21" s="652">
        <f t="shared" si="1"/>
        <v>0</v>
      </c>
      <c r="G21" s="652">
        <f t="shared" si="1"/>
        <v>17273428</v>
      </c>
      <c r="H21" s="454">
        <f t="shared" ref="H21" si="2">SUM(H7:H15)+SUM(H17:H20)</f>
        <v>2280922970.0300002</v>
      </c>
    </row>
    <row r="22" spans="1:8">
      <c r="A22" s="457">
        <v>16</v>
      </c>
      <c r="B22" s="456" t="s">
        <v>433</v>
      </c>
      <c r="C22" s="650">
        <f>C14+C15</f>
        <v>15053101.393300001</v>
      </c>
      <c r="D22" s="650">
        <f>SUM(D13:D15)</f>
        <v>1865770531.6066999</v>
      </c>
      <c r="E22" s="650">
        <v>42220071</v>
      </c>
      <c r="F22" s="650"/>
      <c r="G22" s="650">
        <v>17273428</v>
      </c>
      <c r="H22" s="454">
        <f>C22+D22-E22-F22</f>
        <v>1838603562</v>
      </c>
    </row>
    <row r="23" spans="1:8">
      <c r="A23" s="457">
        <v>17</v>
      </c>
      <c r="B23" s="456" t="s">
        <v>434</v>
      </c>
      <c r="C23" s="650"/>
      <c r="D23" s="650">
        <v>48863928.109999999</v>
      </c>
      <c r="E23" s="650"/>
      <c r="F23" s="650"/>
      <c r="G23" s="650"/>
      <c r="H23" s="454">
        <f>C23+D23-E23-F23</f>
        <v>48863928.109999999</v>
      </c>
    </row>
    <row r="26" spans="1:8" ht="42.45" customHeight="1">
      <c r="B26" s="374" t="s">
        <v>519</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topLeftCell="A3" zoomScale="80" zoomScaleNormal="80" workbookViewId="0">
      <selection activeCell="G30" sqref="G30"/>
    </sheetView>
  </sheetViews>
  <sheetFormatPr defaultColWidth="9.21875" defaultRowHeight="12"/>
  <cols>
    <col min="1" max="1" width="11" style="371" bestFit="1" customWidth="1"/>
    <col min="2" max="2" width="93.44140625" style="371" customWidth="1"/>
    <col min="3" max="4" width="35" style="371" customWidth="1"/>
    <col min="5" max="7" width="22" style="371" customWidth="1"/>
    <col min="8" max="8" width="42.21875" style="371" bestFit="1" customWidth="1"/>
    <col min="9" max="16384" width="9.21875" style="371"/>
  </cols>
  <sheetData>
    <row r="1" spans="1:8" ht="13.8">
      <c r="A1" s="369" t="s">
        <v>31</v>
      </c>
      <c r="B1" s="452" t="str">
        <f>'Info '!C2</f>
        <v>JSC "CREDOBANK"</v>
      </c>
      <c r="C1" s="466"/>
      <c r="D1" s="466"/>
      <c r="E1" s="466"/>
      <c r="F1" s="466"/>
      <c r="G1" s="466"/>
      <c r="H1" s="466"/>
    </row>
    <row r="2" spans="1:8">
      <c r="A2" s="369" t="s">
        <v>32</v>
      </c>
      <c r="B2" s="451">
        <f>'1. key ratios '!B2</f>
        <v>45107</v>
      </c>
      <c r="C2" s="466"/>
      <c r="D2" s="466"/>
      <c r="E2" s="466"/>
      <c r="F2" s="466"/>
      <c r="G2" s="466"/>
      <c r="H2" s="466"/>
    </row>
    <row r="3" spans="1:8">
      <c r="A3" s="370" t="s">
        <v>435</v>
      </c>
      <c r="B3" s="466"/>
      <c r="C3" s="466"/>
      <c r="D3" s="466"/>
      <c r="E3" s="466"/>
      <c r="F3" s="466"/>
      <c r="G3" s="466"/>
      <c r="H3" s="466"/>
    </row>
    <row r="4" spans="1:8">
      <c r="A4" s="467"/>
      <c r="B4" s="466"/>
      <c r="C4" s="465" t="s">
        <v>0</v>
      </c>
      <c r="D4" s="465" t="s">
        <v>1</v>
      </c>
      <c r="E4" s="465" t="s">
        <v>2</v>
      </c>
      <c r="F4" s="465" t="s">
        <v>3</v>
      </c>
      <c r="G4" s="465" t="s">
        <v>4</v>
      </c>
      <c r="H4" s="465" t="s">
        <v>6</v>
      </c>
    </row>
    <row r="5" spans="1:8" ht="41.55" customHeight="1">
      <c r="A5" s="765" t="s">
        <v>426</v>
      </c>
      <c r="B5" s="766"/>
      <c r="C5" s="779" t="s">
        <v>427</v>
      </c>
      <c r="D5" s="779"/>
      <c r="E5" s="779" t="s">
        <v>664</v>
      </c>
      <c r="F5" s="777" t="s">
        <v>428</v>
      </c>
      <c r="G5" s="777" t="s">
        <v>429</v>
      </c>
      <c r="H5" s="463" t="s">
        <v>663</v>
      </c>
    </row>
    <row r="6" spans="1:8" ht="24">
      <c r="A6" s="769"/>
      <c r="B6" s="770"/>
      <c r="C6" s="464" t="s">
        <v>430</v>
      </c>
      <c r="D6" s="464" t="s">
        <v>431</v>
      </c>
      <c r="E6" s="779"/>
      <c r="F6" s="778"/>
      <c r="G6" s="778"/>
      <c r="H6" s="463" t="s">
        <v>662</v>
      </c>
    </row>
    <row r="7" spans="1:8">
      <c r="A7" s="455">
        <v>1</v>
      </c>
      <c r="B7" s="470" t="s">
        <v>523</v>
      </c>
      <c r="C7" s="653">
        <v>149279.67045696432</v>
      </c>
      <c r="D7" s="654">
        <v>170949347.07939011</v>
      </c>
      <c r="E7" s="654">
        <v>575472.68174432451</v>
      </c>
      <c r="F7" s="455"/>
      <c r="G7" s="654">
        <v>145306.97</v>
      </c>
      <c r="H7" s="454">
        <f t="shared" ref="H7:H34" si="0">C7+D7-E7-F7</f>
        <v>170523154.06810275</v>
      </c>
    </row>
    <row r="8" spans="1:8">
      <c r="A8" s="455">
        <v>2</v>
      </c>
      <c r="B8" s="470" t="s">
        <v>436</v>
      </c>
      <c r="C8" s="653">
        <v>36644.102782982263</v>
      </c>
      <c r="D8" s="654">
        <v>138731394.45632255</v>
      </c>
      <c r="E8" s="654">
        <v>121886.14989227391</v>
      </c>
      <c r="F8" s="455"/>
      <c r="G8" s="654">
        <v>67426.86</v>
      </c>
      <c r="H8" s="454">
        <f t="shared" si="0"/>
        <v>138646152.40921327</v>
      </c>
    </row>
    <row r="9" spans="1:8">
      <c r="A9" s="455">
        <v>3</v>
      </c>
      <c r="B9" s="470" t="s">
        <v>437</v>
      </c>
      <c r="C9" s="655">
        <v>41388.552502763632</v>
      </c>
      <c r="D9" s="656">
        <v>6465758.011282823</v>
      </c>
      <c r="E9" s="656">
        <v>147403.54988157644</v>
      </c>
      <c r="F9" s="455"/>
      <c r="G9" s="654">
        <v>36838.719999999979</v>
      </c>
      <c r="H9" s="454">
        <f t="shared" si="0"/>
        <v>6359743.0139040099</v>
      </c>
    </row>
    <row r="10" spans="1:8">
      <c r="A10" s="455">
        <v>4</v>
      </c>
      <c r="B10" s="470" t="s">
        <v>524</v>
      </c>
      <c r="C10" s="657"/>
      <c r="D10" s="656">
        <v>13285421.919752967</v>
      </c>
      <c r="E10" s="656">
        <v>51450.870804222446</v>
      </c>
      <c r="F10" s="455"/>
      <c r="G10" s="654">
        <v>25103.461170999999</v>
      </c>
      <c r="H10" s="454">
        <f t="shared" si="0"/>
        <v>13233971.048948744</v>
      </c>
    </row>
    <row r="11" spans="1:8">
      <c r="A11" s="455">
        <v>5</v>
      </c>
      <c r="B11" s="470" t="s">
        <v>438</v>
      </c>
      <c r="C11" s="655">
        <v>30942.611869719403</v>
      </c>
      <c r="D11" s="656">
        <v>25447524.113416724</v>
      </c>
      <c r="E11" s="656">
        <v>171047.22683278835</v>
      </c>
      <c r="F11" s="455"/>
      <c r="G11" s="654">
        <v>7381.8084639999997</v>
      </c>
      <c r="H11" s="454">
        <f t="shared" si="0"/>
        <v>25307419.498453654</v>
      </c>
    </row>
    <row r="12" spans="1:8">
      <c r="A12" s="455">
        <v>6</v>
      </c>
      <c r="B12" s="470" t="s">
        <v>439</v>
      </c>
      <c r="C12" s="655">
        <v>43724.225791459932</v>
      </c>
      <c r="D12" s="656">
        <v>7722265.7812524224</v>
      </c>
      <c r="E12" s="656">
        <v>148023.066153922</v>
      </c>
      <c r="F12" s="455"/>
      <c r="G12" s="654">
        <v>18962.790000000008</v>
      </c>
      <c r="H12" s="454">
        <f t="shared" si="0"/>
        <v>7617966.9408899602</v>
      </c>
    </row>
    <row r="13" spans="1:8">
      <c r="A13" s="455">
        <v>7</v>
      </c>
      <c r="B13" s="470" t="s">
        <v>440</v>
      </c>
      <c r="C13" s="655">
        <v>59691.42877245797</v>
      </c>
      <c r="D13" s="656">
        <v>3410084.2580334526</v>
      </c>
      <c r="E13" s="656">
        <v>120040.67163870699</v>
      </c>
      <c r="F13" s="455"/>
      <c r="G13" s="654">
        <v>54758.729999999989</v>
      </c>
      <c r="H13" s="454">
        <f t="shared" si="0"/>
        <v>3349735.0151672033</v>
      </c>
    </row>
    <row r="14" spans="1:8">
      <c r="A14" s="455">
        <v>8</v>
      </c>
      <c r="B14" s="470" t="s">
        <v>441</v>
      </c>
      <c r="C14" s="655">
        <v>1425308.9168678487</v>
      </c>
      <c r="D14" s="656">
        <v>132729348.66537738</v>
      </c>
      <c r="E14" s="656">
        <v>3222633.3802028317</v>
      </c>
      <c r="F14" s="455"/>
      <c r="G14" s="654">
        <v>1334698.0164429971</v>
      </c>
      <c r="H14" s="454">
        <f t="shared" si="0"/>
        <v>130932024.2020424</v>
      </c>
    </row>
    <row r="15" spans="1:8">
      <c r="A15" s="455">
        <v>9</v>
      </c>
      <c r="B15" s="470" t="s">
        <v>442</v>
      </c>
      <c r="C15" s="655">
        <v>141882.91647236122</v>
      </c>
      <c r="D15" s="656">
        <v>26627186.834513389</v>
      </c>
      <c r="E15" s="656">
        <v>530328.69153119158</v>
      </c>
      <c r="F15" s="455"/>
      <c r="G15" s="654">
        <v>300537.64917599974</v>
      </c>
      <c r="H15" s="454">
        <f t="shared" si="0"/>
        <v>26238741.059454557</v>
      </c>
    </row>
    <row r="16" spans="1:8">
      <c r="A16" s="455">
        <v>10</v>
      </c>
      <c r="B16" s="470" t="s">
        <v>443</v>
      </c>
      <c r="C16" s="655">
        <v>29398.23142626568</v>
      </c>
      <c r="D16" s="656">
        <v>12521048.137658894</v>
      </c>
      <c r="E16" s="656">
        <v>203753.30625432482</v>
      </c>
      <c r="F16" s="455"/>
      <c r="G16" s="654">
        <v>67691.263800000001</v>
      </c>
      <c r="H16" s="454">
        <f t="shared" si="0"/>
        <v>12346693.062830834</v>
      </c>
    </row>
    <row r="17" spans="1:8">
      <c r="A17" s="455">
        <v>11</v>
      </c>
      <c r="B17" s="470" t="s">
        <v>444</v>
      </c>
      <c r="C17" s="655">
        <v>146587.66372791544</v>
      </c>
      <c r="D17" s="656">
        <v>6851745.1885429677</v>
      </c>
      <c r="E17" s="656">
        <v>231616.8038462078</v>
      </c>
      <c r="F17" s="455"/>
      <c r="G17" s="654">
        <v>91251.37000000001</v>
      </c>
      <c r="H17" s="454">
        <f t="shared" si="0"/>
        <v>6766716.0484246761</v>
      </c>
    </row>
    <row r="18" spans="1:8">
      <c r="A18" s="455">
        <v>12</v>
      </c>
      <c r="B18" s="470" t="s">
        <v>445</v>
      </c>
      <c r="C18" s="655">
        <v>623085.30487191805</v>
      </c>
      <c r="D18" s="656">
        <v>107215000.29092526</v>
      </c>
      <c r="E18" s="656">
        <v>2026413.9833429758</v>
      </c>
      <c r="F18" s="455"/>
      <c r="G18" s="654">
        <v>411667.9215044583</v>
      </c>
      <c r="H18" s="454">
        <f t="shared" si="0"/>
        <v>105811671.61245421</v>
      </c>
    </row>
    <row r="19" spans="1:8">
      <c r="A19" s="455">
        <v>13</v>
      </c>
      <c r="B19" s="470" t="s">
        <v>446</v>
      </c>
      <c r="C19" s="655">
        <v>114801.15880153301</v>
      </c>
      <c r="D19" s="656">
        <v>17277235.918285351</v>
      </c>
      <c r="E19" s="656">
        <v>343065.7529201929</v>
      </c>
      <c r="F19" s="455"/>
      <c r="G19" s="654">
        <v>137108.55732899983</v>
      </c>
      <c r="H19" s="454">
        <f t="shared" si="0"/>
        <v>17048971.324166693</v>
      </c>
    </row>
    <row r="20" spans="1:8">
      <c r="A20" s="455">
        <v>14</v>
      </c>
      <c r="B20" s="470" t="s">
        <v>447</v>
      </c>
      <c r="C20" s="655">
        <v>79528.160415813691</v>
      </c>
      <c r="D20" s="656">
        <v>52349597.359707028</v>
      </c>
      <c r="E20" s="656">
        <v>788440.57061953226</v>
      </c>
      <c r="F20" s="455"/>
      <c r="G20" s="654">
        <v>97274.935869999958</v>
      </c>
      <c r="H20" s="454">
        <f t="shared" si="0"/>
        <v>51640684.94950331</v>
      </c>
    </row>
    <row r="21" spans="1:8">
      <c r="A21" s="455">
        <v>15</v>
      </c>
      <c r="B21" s="470" t="s">
        <v>448</v>
      </c>
      <c r="C21" s="655">
        <v>232015.15692110034</v>
      </c>
      <c r="D21" s="656">
        <v>31644224.931247722</v>
      </c>
      <c r="E21" s="656">
        <v>913486.64150023193</v>
      </c>
      <c r="F21" s="455"/>
      <c r="G21" s="654">
        <v>184431.46627700003</v>
      </c>
      <c r="H21" s="454">
        <f t="shared" si="0"/>
        <v>30962753.446668591</v>
      </c>
    </row>
    <row r="22" spans="1:8">
      <c r="A22" s="455">
        <v>16</v>
      </c>
      <c r="B22" s="470" t="s">
        <v>449</v>
      </c>
      <c r="C22" s="655">
        <v>34780.271838375869</v>
      </c>
      <c r="D22" s="656">
        <v>7865342.9208361311</v>
      </c>
      <c r="E22" s="656">
        <v>189553.9575751455</v>
      </c>
      <c r="F22" s="455"/>
      <c r="G22" s="654">
        <v>93650.939999999988</v>
      </c>
      <c r="H22" s="454">
        <f t="shared" si="0"/>
        <v>7710569.2350993622</v>
      </c>
    </row>
    <row r="23" spans="1:8">
      <c r="A23" s="455">
        <v>17</v>
      </c>
      <c r="B23" s="470" t="s">
        <v>527</v>
      </c>
      <c r="C23" s="655">
        <v>5721.1866651526789</v>
      </c>
      <c r="D23" s="656">
        <v>740600.99582617951</v>
      </c>
      <c r="E23" s="656">
        <v>15473.166364998466</v>
      </c>
      <c r="F23" s="455"/>
      <c r="G23" s="654">
        <v>479.31</v>
      </c>
      <c r="H23" s="454">
        <f t="shared" si="0"/>
        <v>730849.01612633374</v>
      </c>
    </row>
    <row r="24" spans="1:8">
      <c r="A24" s="455">
        <v>18</v>
      </c>
      <c r="B24" s="470" t="s">
        <v>450</v>
      </c>
      <c r="C24" s="655">
        <v>26493.386088658801</v>
      </c>
      <c r="D24" s="656">
        <v>2957250.3789206748</v>
      </c>
      <c r="E24" s="656">
        <v>69319.104071794805</v>
      </c>
      <c r="F24" s="455"/>
      <c r="G24" s="654">
        <v>14986.089999999995</v>
      </c>
      <c r="H24" s="454">
        <f t="shared" si="0"/>
        <v>2914424.6609375384</v>
      </c>
    </row>
    <row r="25" spans="1:8">
      <c r="A25" s="455">
        <v>19</v>
      </c>
      <c r="B25" s="470" t="s">
        <v>451</v>
      </c>
      <c r="C25" s="655">
        <v>76142.36039562618</v>
      </c>
      <c r="D25" s="656">
        <v>4700135.2050638041</v>
      </c>
      <c r="E25" s="656">
        <v>118931.5394420564</v>
      </c>
      <c r="F25" s="455"/>
      <c r="G25" s="654">
        <v>15742.240000000003</v>
      </c>
      <c r="H25" s="454">
        <f t="shared" si="0"/>
        <v>4657346.0260173734</v>
      </c>
    </row>
    <row r="26" spans="1:8">
      <c r="A26" s="455">
        <v>20</v>
      </c>
      <c r="B26" s="470" t="s">
        <v>526</v>
      </c>
      <c r="C26" s="655">
        <v>21106.276250671064</v>
      </c>
      <c r="D26" s="656">
        <v>13905196.089396153</v>
      </c>
      <c r="E26" s="656">
        <v>159738.44636965948</v>
      </c>
      <c r="F26" s="455"/>
      <c r="G26" s="654">
        <v>41754.519999999997</v>
      </c>
      <c r="H26" s="454">
        <f t="shared" si="0"/>
        <v>13766563.919277165</v>
      </c>
    </row>
    <row r="27" spans="1:8">
      <c r="A27" s="455">
        <v>21</v>
      </c>
      <c r="B27" s="470" t="s">
        <v>452</v>
      </c>
      <c r="C27" s="655">
        <v>322.16999999999996</v>
      </c>
      <c r="D27" s="656">
        <v>2084383.2535823695</v>
      </c>
      <c r="E27" s="656">
        <v>26394.06361769421</v>
      </c>
      <c r="F27" s="455"/>
      <c r="G27" s="654">
        <v>998.40000000000032</v>
      </c>
      <c r="H27" s="454">
        <f t="shared" si="0"/>
        <v>2058311.3599646753</v>
      </c>
    </row>
    <row r="28" spans="1:8">
      <c r="A28" s="455">
        <v>22</v>
      </c>
      <c r="B28" s="470" t="s">
        <v>453</v>
      </c>
      <c r="C28" s="655">
        <v>21552.808352000658</v>
      </c>
      <c r="D28" s="656">
        <v>681699.43018346815</v>
      </c>
      <c r="E28" s="656">
        <v>30928.772042411103</v>
      </c>
      <c r="F28" s="455"/>
      <c r="G28" s="654">
        <v>2907.0099999999998</v>
      </c>
      <c r="H28" s="454">
        <f t="shared" si="0"/>
        <v>672323.46649305767</v>
      </c>
    </row>
    <row r="29" spans="1:8">
      <c r="A29" s="455">
        <v>23</v>
      </c>
      <c r="B29" s="470" t="s">
        <v>454</v>
      </c>
      <c r="C29" s="655">
        <v>3546427.7708417685</v>
      </c>
      <c r="D29" s="656">
        <v>394993502.42197615</v>
      </c>
      <c r="E29" s="656">
        <v>10082450.453520177</v>
      </c>
      <c r="F29" s="455"/>
      <c r="G29" s="654">
        <v>4707622.0370530067</v>
      </c>
      <c r="H29" s="454">
        <f t="shared" si="0"/>
        <v>388457479.73929775</v>
      </c>
    </row>
    <row r="30" spans="1:8">
      <c r="A30" s="455">
        <v>24</v>
      </c>
      <c r="B30" s="470" t="s">
        <v>525</v>
      </c>
      <c r="C30" s="655">
        <v>5870701.5276064798</v>
      </c>
      <c r="D30" s="656">
        <v>759884567.02074373</v>
      </c>
      <c r="E30" s="656">
        <v>16891708.902425982</v>
      </c>
      <c r="F30" s="455"/>
      <c r="G30" s="654">
        <v>6666080.2416725447</v>
      </c>
      <c r="H30" s="454">
        <f t="shared" si="0"/>
        <v>748863559.64592421</v>
      </c>
    </row>
    <row r="31" spans="1:8">
      <c r="A31" s="455">
        <v>25</v>
      </c>
      <c r="B31" s="470" t="s">
        <v>455</v>
      </c>
      <c r="C31" s="655">
        <v>1714004.666929367</v>
      </c>
      <c r="D31" s="656">
        <v>138388715.06325966</v>
      </c>
      <c r="E31" s="656">
        <v>3504156.102372461</v>
      </c>
      <c r="F31" s="455"/>
      <c r="G31" s="654">
        <v>2032396.8912399937</v>
      </c>
      <c r="H31" s="454">
        <f t="shared" si="0"/>
        <v>136598563.62781656</v>
      </c>
    </row>
    <row r="32" spans="1:8">
      <c r="A32" s="455">
        <v>26</v>
      </c>
      <c r="B32" s="470" t="s">
        <v>522</v>
      </c>
      <c r="C32" s="658">
        <v>581570.80419345351</v>
      </c>
      <c r="D32" s="656">
        <v>57416490.830831975</v>
      </c>
      <c r="E32" s="656">
        <v>1536353.7635672132</v>
      </c>
      <c r="F32" s="455"/>
      <c r="G32" s="654">
        <v>716369.80000000133</v>
      </c>
      <c r="H32" s="454">
        <f t="shared" si="0"/>
        <v>56461707.87145821</v>
      </c>
    </row>
    <row r="33" spans="1:8">
      <c r="A33" s="455">
        <v>27</v>
      </c>
      <c r="B33" s="455" t="s">
        <v>456</v>
      </c>
      <c r="C33" s="651"/>
      <c r="D33" s="654">
        <v>175265975.35000002</v>
      </c>
      <c r="E33" s="654">
        <v>4021102</v>
      </c>
      <c r="F33" s="455"/>
      <c r="G33" s="654"/>
      <c r="H33" s="454">
        <f t="shared" si="0"/>
        <v>171244873.35000002</v>
      </c>
    </row>
    <row r="34" spans="1:8">
      <c r="A34" s="455">
        <v>28</v>
      </c>
      <c r="B34" s="459" t="s">
        <v>65</v>
      </c>
      <c r="C34" s="652">
        <f>SUM(C7:C33)</f>
        <v>15053101.330842657</v>
      </c>
      <c r="D34" s="652">
        <f>SUM(D7:D33)</f>
        <v>2312111041.9063292</v>
      </c>
      <c r="E34" s="652">
        <f>SUM(E7:E33)</f>
        <v>46241173.6185349</v>
      </c>
      <c r="F34" s="652">
        <f>SUM(F7:F33)</f>
        <v>0</v>
      </c>
      <c r="G34" s="652">
        <f>SUM(G7:G33)</f>
        <v>17273428</v>
      </c>
      <c r="H34" s="454">
        <f t="shared" si="0"/>
        <v>2280922969.6186366</v>
      </c>
    </row>
    <row r="36" spans="1:8">
      <c r="B36" s="469"/>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C11" sqref="C11:C14"/>
    </sheetView>
  </sheetViews>
  <sheetFormatPr defaultColWidth="9.21875" defaultRowHeight="12"/>
  <cols>
    <col min="1" max="1" width="11.77734375" style="371" bestFit="1" customWidth="1"/>
    <col min="2" max="2" width="108" style="371" bestFit="1" customWidth="1"/>
    <col min="3" max="3" width="35.5546875" style="371" customWidth="1"/>
    <col min="4" max="4" width="38.44140625" style="371" customWidth="1"/>
    <col min="5" max="16384" width="9.21875" style="371"/>
  </cols>
  <sheetData>
    <row r="1" spans="1:4" ht="13.8">
      <c r="A1" s="369" t="s">
        <v>31</v>
      </c>
      <c r="B1" s="452" t="str">
        <f>'Info '!C2</f>
        <v>JSC "CREDOBANK"</v>
      </c>
    </row>
    <row r="2" spans="1:4">
      <c r="A2" s="369" t="s">
        <v>32</v>
      </c>
      <c r="B2" s="451">
        <f>'1. key ratios '!B2</f>
        <v>45107</v>
      </c>
    </row>
    <row r="3" spans="1:4">
      <c r="A3" s="370" t="s">
        <v>457</v>
      </c>
    </row>
    <row r="5" spans="1:4">
      <c r="A5" s="780" t="s">
        <v>671</v>
      </c>
      <c r="B5" s="780"/>
      <c r="C5" s="450" t="s">
        <v>474</v>
      </c>
      <c r="D5" s="450" t="s">
        <v>515</v>
      </c>
    </row>
    <row r="6" spans="1:4">
      <c r="A6" s="478">
        <v>1</v>
      </c>
      <c r="B6" s="471" t="s">
        <v>670</v>
      </c>
      <c r="C6" s="659">
        <v>43617591.814989217</v>
      </c>
      <c r="D6" s="473"/>
    </row>
    <row r="7" spans="1:4">
      <c r="A7" s="475">
        <v>2</v>
      </c>
      <c r="B7" s="471" t="s">
        <v>669</v>
      </c>
      <c r="C7" s="648">
        <f>SUM(C8:C9)</f>
        <v>29514449</v>
      </c>
      <c r="D7" s="473">
        <f>SUM(D8:D9)</f>
        <v>0</v>
      </c>
    </row>
    <row r="8" spans="1:4">
      <c r="A8" s="477">
        <v>2.1</v>
      </c>
      <c r="B8" s="476" t="s">
        <v>530</v>
      </c>
      <c r="C8" s="659">
        <v>3957618</v>
      </c>
      <c r="D8" s="473"/>
    </row>
    <row r="9" spans="1:4">
      <c r="A9" s="477">
        <v>2.2000000000000002</v>
      </c>
      <c r="B9" s="476" t="s">
        <v>528</v>
      </c>
      <c r="C9" s="659">
        <v>25556831</v>
      </c>
      <c r="D9" s="473"/>
    </row>
    <row r="10" spans="1:4">
      <c r="A10" s="478">
        <v>3</v>
      </c>
      <c r="B10" s="471" t="s">
        <v>668</v>
      </c>
      <c r="C10" s="648">
        <f>SUM(C11:C13)</f>
        <v>30870104</v>
      </c>
      <c r="D10" s="473">
        <f>SUM(D11:D13)</f>
        <v>0</v>
      </c>
    </row>
    <row r="11" spans="1:4">
      <c r="A11" s="477">
        <v>3.1</v>
      </c>
      <c r="B11" s="476" t="s">
        <v>459</v>
      </c>
      <c r="C11" s="660">
        <v>17273428</v>
      </c>
      <c r="D11" s="473"/>
    </row>
    <row r="12" spans="1:4">
      <c r="A12" s="477">
        <v>3.2</v>
      </c>
      <c r="B12" s="476" t="s">
        <v>667</v>
      </c>
      <c r="C12" s="659">
        <v>5619112</v>
      </c>
      <c r="D12" s="473"/>
    </row>
    <row r="13" spans="1:4">
      <c r="A13" s="477">
        <v>3.3</v>
      </c>
      <c r="B13" s="476" t="s">
        <v>529</v>
      </c>
      <c r="C13" s="659">
        <v>7977564</v>
      </c>
      <c r="D13" s="473"/>
    </row>
    <row r="14" spans="1:4">
      <c r="A14" s="475">
        <v>4</v>
      </c>
      <c r="B14" s="474" t="s">
        <v>666</v>
      </c>
      <c r="C14" s="659">
        <v>-41865</v>
      </c>
      <c r="D14" s="473"/>
    </row>
    <row r="15" spans="1:4">
      <c r="A15" s="472">
        <v>5</v>
      </c>
      <c r="B15" s="471" t="s">
        <v>665</v>
      </c>
      <c r="C15" s="648">
        <f>C6+C7-C10+C14</f>
        <v>42220071.814989209</v>
      </c>
      <c r="D15" s="443">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topLeftCell="B1" zoomScaleNormal="100" workbookViewId="0">
      <selection activeCell="C11" sqref="C11:C17"/>
    </sheetView>
  </sheetViews>
  <sheetFormatPr defaultColWidth="9.21875" defaultRowHeight="12"/>
  <cols>
    <col min="1" max="1" width="11.77734375" style="371" bestFit="1" customWidth="1"/>
    <col min="2" max="2" width="128.88671875" style="371" bestFit="1" customWidth="1"/>
    <col min="3" max="3" width="37" style="371" customWidth="1"/>
    <col min="4" max="4" width="50.5546875" style="371" customWidth="1"/>
    <col min="5" max="16384" width="9.21875" style="371"/>
  </cols>
  <sheetData>
    <row r="1" spans="1:4" ht="13.8">
      <c r="A1" s="369" t="s">
        <v>31</v>
      </c>
      <c r="B1" s="452" t="str">
        <f>'Info '!C2</f>
        <v>JSC "CREDOBANK"</v>
      </c>
    </row>
    <row r="2" spans="1:4">
      <c r="A2" s="369" t="s">
        <v>32</v>
      </c>
      <c r="B2" s="451">
        <f>'1. key ratios '!B2</f>
        <v>45107</v>
      </c>
    </row>
    <row r="3" spans="1:4">
      <c r="A3" s="370" t="s">
        <v>461</v>
      </c>
    </row>
    <row r="4" spans="1:4">
      <c r="A4" s="370"/>
    </row>
    <row r="5" spans="1:4" ht="15" customHeight="1">
      <c r="A5" s="781" t="s">
        <v>531</v>
      </c>
      <c r="B5" s="782"/>
      <c r="C5" s="785" t="s">
        <v>462</v>
      </c>
      <c r="D5" s="785" t="s">
        <v>463</v>
      </c>
    </row>
    <row r="6" spans="1:4">
      <c r="A6" s="783"/>
      <c r="B6" s="784"/>
      <c r="C6" s="785"/>
      <c r="D6" s="785"/>
    </row>
    <row r="7" spans="1:4">
      <c r="A7" s="443">
        <v>1</v>
      </c>
      <c r="B7" s="443" t="s">
        <v>458</v>
      </c>
      <c r="C7" s="650">
        <v>15368098.805442587</v>
      </c>
      <c r="D7" s="479"/>
    </row>
    <row r="8" spans="1:4">
      <c r="A8" s="473">
        <v>2</v>
      </c>
      <c r="B8" s="473" t="s">
        <v>464</v>
      </c>
      <c r="C8" s="650">
        <v>17946722.430938624</v>
      </c>
      <c r="D8" s="479"/>
    </row>
    <row r="9" spans="1:4">
      <c r="A9" s="473">
        <v>3</v>
      </c>
      <c r="B9" s="482" t="s">
        <v>674</v>
      </c>
      <c r="C9" s="650">
        <v>10349.430585688551</v>
      </c>
      <c r="D9" s="479"/>
    </row>
    <row r="10" spans="1:4">
      <c r="A10" s="473">
        <v>4</v>
      </c>
      <c r="B10" s="473" t="s">
        <v>465</v>
      </c>
      <c r="C10" s="652">
        <f>SUM(C11:C17)</f>
        <v>18272069.2736669</v>
      </c>
      <c r="D10" s="479"/>
    </row>
    <row r="11" spans="1:4">
      <c r="A11" s="473">
        <v>5</v>
      </c>
      <c r="B11" s="481" t="s">
        <v>673</v>
      </c>
      <c r="C11" s="650">
        <v>19382</v>
      </c>
      <c r="D11" s="479"/>
    </row>
    <row r="12" spans="1:4">
      <c r="A12" s="473">
        <v>6</v>
      </c>
      <c r="B12" s="481" t="s">
        <v>466</v>
      </c>
      <c r="C12" s="651">
        <v>976689.27366689965</v>
      </c>
      <c r="D12" s="479"/>
    </row>
    <row r="13" spans="1:4">
      <c r="A13" s="473">
        <v>7</v>
      </c>
      <c r="B13" s="481" t="s">
        <v>469</v>
      </c>
      <c r="C13" s="651">
        <v>17273428</v>
      </c>
      <c r="D13" s="479"/>
    </row>
    <row r="14" spans="1:4">
      <c r="A14" s="473">
        <v>8</v>
      </c>
      <c r="B14" s="481" t="s">
        <v>467</v>
      </c>
      <c r="C14" s="650"/>
      <c r="D14" s="473"/>
    </row>
    <row r="15" spans="1:4">
      <c r="A15" s="473">
        <v>9</v>
      </c>
      <c r="B15" s="481" t="s">
        <v>468</v>
      </c>
      <c r="C15" s="650"/>
      <c r="D15" s="473"/>
    </row>
    <row r="16" spans="1:4">
      <c r="A16" s="473">
        <v>10</v>
      </c>
      <c r="B16" s="481" t="s">
        <v>470</v>
      </c>
      <c r="C16" s="650"/>
      <c r="D16" s="473"/>
    </row>
    <row r="17" spans="1:4">
      <c r="A17" s="473">
        <v>11</v>
      </c>
      <c r="B17" s="481" t="s">
        <v>672</v>
      </c>
      <c r="C17" s="650">
        <v>2570</v>
      </c>
      <c r="D17" s="479"/>
    </row>
    <row r="18" spans="1:4">
      <c r="A18" s="443">
        <v>12</v>
      </c>
      <c r="B18" s="480" t="s">
        <v>460</v>
      </c>
      <c r="C18" s="648">
        <f>C7+C8+C9-C10</f>
        <v>15053101.393300001</v>
      </c>
      <c r="D18" s="479"/>
    </row>
    <row r="21" spans="1:4">
      <c r="B21" s="369"/>
    </row>
    <row r="22" spans="1:4">
      <c r="B22" s="369"/>
    </row>
    <row r="23" spans="1:4">
      <c r="B23" s="37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K1" zoomScale="90" zoomScaleNormal="90" workbookViewId="0">
      <selection activeCell="T8" activeCellId="1" sqref="L8 T8"/>
    </sheetView>
  </sheetViews>
  <sheetFormatPr defaultColWidth="9.21875" defaultRowHeight="12"/>
  <cols>
    <col min="1" max="1" width="11.77734375" style="466" bestFit="1" customWidth="1"/>
    <col min="2" max="2" width="63.88671875" style="466" customWidth="1"/>
    <col min="3" max="3" width="15.5546875" style="466" customWidth="1"/>
    <col min="4" max="18" width="22.21875" style="466" customWidth="1"/>
    <col min="19" max="19" width="23.21875" style="466" bestFit="1" customWidth="1"/>
    <col min="20" max="26" width="22.21875" style="466" customWidth="1"/>
    <col min="27" max="27" width="23.21875" style="466" bestFit="1" customWidth="1"/>
    <col min="28" max="28" width="20" style="466" customWidth="1"/>
    <col min="29" max="16384" width="9.21875" style="466"/>
  </cols>
  <sheetData>
    <row r="1" spans="1:28" ht="13.8">
      <c r="A1" s="369" t="s">
        <v>31</v>
      </c>
      <c r="B1" s="452" t="str">
        <f>'Info '!C2</f>
        <v>JSC "CREDOBANK"</v>
      </c>
    </row>
    <row r="2" spans="1:28">
      <c r="A2" s="369" t="s">
        <v>32</v>
      </c>
      <c r="B2" s="451">
        <f>'1. key ratios '!B2</f>
        <v>45107</v>
      </c>
      <c r="C2" s="467"/>
    </row>
    <row r="3" spans="1:28">
      <c r="A3" s="370" t="s">
        <v>471</v>
      </c>
    </row>
    <row r="5" spans="1:28" ht="15" customHeight="1">
      <c r="A5" s="787" t="s">
        <v>686</v>
      </c>
      <c r="B5" s="788"/>
      <c r="C5" s="793" t="s">
        <v>472</v>
      </c>
      <c r="D5" s="794"/>
      <c r="E5" s="794"/>
      <c r="F5" s="794"/>
      <c r="G5" s="794"/>
      <c r="H5" s="794"/>
      <c r="I5" s="794"/>
      <c r="J5" s="794"/>
      <c r="K5" s="794"/>
      <c r="L5" s="794"/>
      <c r="M5" s="794"/>
      <c r="N5" s="794"/>
      <c r="O5" s="794"/>
      <c r="P5" s="794"/>
      <c r="Q5" s="794"/>
      <c r="R5" s="794"/>
      <c r="S5" s="794"/>
      <c r="T5" s="490"/>
      <c r="U5" s="490"/>
      <c r="V5" s="490"/>
      <c r="W5" s="490"/>
      <c r="X5" s="490"/>
      <c r="Y5" s="490"/>
      <c r="Z5" s="490"/>
      <c r="AA5" s="489"/>
      <c r="AB5" s="484"/>
    </row>
    <row r="6" spans="1:28" ht="12" customHeight="1">
      <c r="A6" s="789"/>
      <c r="B6" s="790"/>
      <c r="C6" s="795" t="s">
        <v>65</v>
      </c>
      <c r="D6" s="797" t="s">
        <v>685</v>
      </c>
      <c r="E6" s="797"/>
      <c r="F6" s="797"/>
      <c r="G6" s="797"/>
      <c r="H6" s="797" t="s">
        <v>684</v>
      </c>
      <c r="I6" s="797"/>
      <c r="J6" s="797"/>
      <c r="K6" s="797"/>
      <c r="L6" s="487"/>
      <c r="M6" s="798" t="s">
        <v>683</v>
      </c>
      <c r="N6" s="798"/>
      <c r="O6" s="798"/>
      <c r="P6" s="798"/>
      <c r="Q6" s="798"/>
      <c r="R6" s="798"/>
      <c r="S6" s="778"/>
      <c r="T6" s="488"/>
      <c r="U6" s="786" t="s">
        <v>682</v>
      </c>
      <c r="V6" s="786"/>
      <c r="W6" s="786"/>
      <c r="X6" s="786"/>
      <c r="Y6" s="786"/>
      <c r="Z6" s="786"/>
      <c r="AA6" s="779"/>
      <c r="AB6" s="487"/>
    </row>
    <row r="7" spans="1:28" ht="24">
      <c r="A7" s="791"/>
      <c r="B7" s="792"/>
      <c r="C7" s="796"/>
      <c r="D7" s="486"/>
      <c r="E7" s="463" t="s">
        <v>473</v>
      </c>
      <c r="F7" s="463" t="s">
        <v>680</v>
      </c>
      <c r="G7" s="465" t="s">
        <v>681</v>
      </c>
      <c r="H7" s="467"/>
      <c r="I7" s="463" t="s">
        <v>473</v>
      </c>
      <c r="J7" s="463" t="s">
        <v>680</v>
      </c>
      <c r="K7" s="465" t="s">
        <v>681</v>
      </c>
      <c r="L7" s="485"/>
      <c r="M7" s="463" t="s">
        <v>473</v>
      </c>
      <c r="N7" s="463" t="s">
        <v>680</v>
      </c>
      <c r="O7" s="463" t="s">
        <v>679</v>
      </c>
      <c r="P7" s="463" t="s">
        <v>678</v>
      </c>
      <c r="Q7" s="463" t="s">
        <v>677</v>
      </c>
      <c r="R7" s="463" t="s">
        <v>676</v>
      </c>
      <c r="S7" s="463" t="s">
        <v>675</v>
      </c>
      <c r="T7" s="485"/>
      <c r="U7" s="463" t="s">
        <v>473</v>
      </c>
      <c r="V7" s="463" t="s">
        <v>680</v>
      </c>
      <c r="W7" s="463" t="s">
        <v>679</v>
      </c>
      <c r="X7" s="463" t="s">
        <v>678</v>
      </c>
      <c r="Y7" s="463" t="s">
        <v>677</v>
      </c>
      <c r="Z7" s="463" t="s">
        <v>676</v>
      </c>
      <c r="AA7" s="463" t="s">
        <v>675</v>
      </c>
      <c r="AB7" s="484"/>
    </row>
    <row r="8" spans="1:28">
      <c r="A8" s="483">
        <v>1</v>
      </c>
      <c r="B8" s="459" t="s">
        <v>474</v>
      </c>
      <c r="C8" s="652">
        <f>SUM(C9:C14)</f>
        <v>1880823633.203979</v>
      </c>
      <c r="D8" s="652">
        <f t="shared" ref="D8:AA8" si="0">SUM(D9:D14)</f>
        <v>1776173461.970726</v>
      </c>
      <c r="E8" s="652">
        <f t="shared" si="0"/>
        <v>7476723.8601352917</v>
      </c>
      <c r="F8" s="652">
        <f t="shared" si="0"/>
        <v>0</v>
      </c>
      <c r="G8" s="652">
        <f t="shared" si="0"/>
        <v>0</v>
      </c>
      <c r="H8" s="652">
        <f t="shared" si="0"/>
        <v>89597069.90571022</v>
      </c>
      <c r="I8" s="652">
        <f t="shared" si="0"/>
        <v>3335435.535276562</v>
      </c>
      <c r="J8" s="652">
        <f t="shared" si="0"/>
        <v>10994827.721227223</v>
      </c>
      <c r="K8" s="652">
        <f t="shared" si="0"/>
        <v>0</v>
      </c>
      <c r="L8" s="652">
        <f t="shared" si="0"/>
        <v>14744974.937542599</v>
      </c>
      <c r="M8" s="652">
        <f t="shared" si="0"/>
        <v>57253.097634423051</v>
      </c>
      <c r="N8" s="652">
        <f t="shared" si="0"/>
        <v>187195.73427820631</v>
      </c>
      <c r="O8" s="652">
        <f t="shared" si="0"/>
        <v>13689883.509862589</v>
      </c>
      <c r="P8" s="652">
        <f t="shared" si="0"/>
        <v>0</v>
      </c>
      <c r="Q8" s="652">
        <f t="shared" si="0"/>
        <v>0</v>
      </c>
      <c r="R8" s="652">
        <f t="shared" si="0"/>
        <v>0</v>
      </c>
      <c r="S8" s="652">
        <f t="shared" si="0"/>
        <v>0</v>
      </c>
      <c r="T8" s="652">
        <f t="shared" si="0"/>
        <v>308126.38999999996</v>
      </c>
      <c r="U8" s="652">
        <f t="shared" si="0"/>
        <v>0</v>
      </c>
      <c r="V8" s="652">
        <f t="shared" si="0"/>
        <v>0</v>
      </c>
      <c r="W8" s="652">
        <f t="shared" si="0"/>
        <v>0</v>
      </c>
      <c r="X8" s="652">
        <f t="shared" si="0"/>
        <v>0</v>
      </c>
      <c r="Y8" s="652">
        <f t="shared" si="0"/>
        <v>0</v>
      </c>
      <c r="Z8" s="652">
        <f t="shared" si="0"/>
        <v>0</v>
      </c>
      <c r="AA8" s="652">
        <f t="shared" si="0"/>
        <v>0</v>
      </c>
    </row>
    <row r="9" spans="1:28">
      <c r="A9" s="455">
        <v>1.1000000000000001</v>
      </c>
      <c r="B9" s="475" t="s">
        <v>475</v>
      </c>
      <c r="C9" s="475"/>
      <c r="D9" s="455"/>
      <c r="E9" s="455"/>
      <c r="F9" s="455"/>
      <c r="G9" s="455"/>
      <c r="H9" s="455"/>
      <c r="I9" s="455"/>
      <c r="J9" s="455"/>
      <c r="K9" s="455"/>
      <c r="L9" s="455"/>
      <c r="M9" s="455"/>
      <c r="N9" s="455"/>
      <c r="O9" s="455"/>
      <c r="P9" s="455"/>
      <c r="Q9" s="455"/>
      <c r="R9" s="455"/>
      <c r="S9" s="455"/>
      <c r="T9" s="455"/>
      <c r="U9" s="455"/>
      <c r="V9" s="455"/>
      <c r="W9" s="455"/>
      <c r="X9" s="455"/>
      <c r="Y9" s="455"/>
      <c r="Z9" s="455"/>
      <c r="AA9" s="455"/>
    </row>
    <row r="10" spans="1:28">
      <c r="A10" s="455">
        <v>1.2</v>
      </c>
      <c r="B10" s="475" t="s">
        <v>476</v>
      </c>
      <c r="C10" s="47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row>
    <row r="11" spans="1:28">
      <c r="A11" s="455">
        <v>1.3</v>
      </c>
      <c r="B11" s="475" t="s">
        <v>477</v>
      </c>
      <c r="C11" s="47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row>
    <row r="12" spans="1:28">
      <c r="A12" s="455">
        <v>1.4</v>
      </c>
      <c r="B12" s="475" t="s">
        <v>478</v>
      </c>
      <c r="C12" s="47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row>
    <row r="13" spans="1:28">
      <c r="A13" s="455">
        <v>1.5</v>
      </c>
      <c r="B13" s="475" t="s">
        <v>479</v>
      </c>
      <c r="C13" s="661">
        <f>D13+H13+L13+T13</f>
        <v>92931580.72860685</v>
      </c>
      <c r="D13" s="650">
        <v>89515828.659956127</v>
      </c>
      <c r="E13" s="650"/>
      <c r="F13" s="455"/>
      <c r="G13" s="455"/>
      <c r="H13" s="650">
        <v>3401161.3386507253</v>
      </c>
      <c r="I13" s="650">
        <v>34113.406591415725</v>
      </c>
      <c r="J13" s="650">
        <v>103392.95210016365</v>
      </c>
      <c r="K13" s="650"/>
      <c r="L13" s="455"/>
      <c r="M13" s="455"/>
      <c r="N13" s="455"/>
      <c r="O13" s="455"/>
      <c r="P13" s="455"/>
      <c r="Q13" s="455"/>
      <c r="R13" s="455"/>
      <c r="S13" s="455"/>
      <c r="T13" s="650">
        <v>14590.73</v>
      </c>
      <c r="U13" s="650"/>
      <c r="V13" s="455"/>
      <c r="W13" s="455"/>
      <c r="X13" s="455"/>
      <c r="Y13" s="455"/>
      <c r="Z13" s="455"/>
      <c r="AA13" s="455"/>
    </row>
    <row r="14" spans="1:28">
      <c r="A14" s="455">
        <v>1.6</v>
      </c>
      <c r="B14" s="475" t="s">
        <v>480</v>
      </c>
      <c r="C14" s="661">
        <f>D14+H14+L14+T14</f>
        <v>1787892052.4753721</v>
      </c>
      <c r="D14" s="650">
        <v>1686657633.3107698</v>
      </c>
      <c r="E14" s="650">
        <v>7476723.8601352917</v>
      </c>
      <c r="F14" s="455"/>
      <c r="G14" s="455"/>
      <c r="H14" s="650">
        <v>86195908.567059502</v>
      </c>
      <c r="I14" s="650">
        <v>3301322.1286851461</v>
      </c>
      <c r="J14" s="650">
        <v>10891434.76912706</v>
      </c>
      <c r="K14" s="650"/>
      <c r="L14" s="650">
        <v>14744974.937542599</v>
      </c>
      <c r="M14" s="650">
        <v>57253.097634423051</v>
      </c>
      <c r="N14" s="651">
        <v>187195.73427820631</v>
      </c>
      <c r="O14" s="651">
        <v>13689883.509862589</v>
      </c>
      <c r="P14" s="651"/>
      <c r="Q14" s="455"/>
      <c r="R14" s="455"/>
      <c r="S14" s="455"/>
      <c r="T14" s="650">
        <v>293535.65999999997</v>
      </c>
      <c r="U14" s="650"/>
      <c r="V14" s="455"/>
      <c r="W14" s="455"/>
      <c r="X14" s="662"/>
      <c r="Y14" s="455"/>
      <c r="Z14" s="455"/>
      <c r="AA14" s="455"/>
    </row>
    <row r="15" spans="1:28">
      <c r="A15" s="483">
        <v>2</v>
      </c>
      <c r="B15" s="459" t="s">
        <v>481</v>
      </c>
      <c r="C15" s="663">
        <f t="shared" ref="C15:C20" si="1">D15+H15+L15+T15</f>
        <v>48863928.109999999</v>
      </c>
      <c r="D15" s="664">
        <f>SUM(D16:D21)</f>
        <v>48863928.109999999</v>
      </c>
      <c r="E15" s="664">
        <f t="shared" ref="E15:AA15" si="2">SUM(E16:E21)</f>
        <v>0</v>
      </c>
      <c r="F15" s="664">
        <f t="shared" si="2"/>
        <v>0</v>
      </c>
      <c r="G15" s="664">
        <f t="shared" si="2"/>
        <v>0</v>
      </c>
      <c r="H15" s="664">
        <f t="shared" si="2"/>
        <v>0</v>
      </c>
      <c r="I15" s="664">
        <f t="shared" si="2"/>
        <v>0</v>
      </c>
      <c r="J15" s="664">
        <f t="shared" si="2"/>
        <v>0</v>
      </c>
      <c r="K15" s="664">
        <f t="shared" si="2"/>
        <v>0</v>
      </c>
      <c r="L15" s="664">
        <f t="shared" si="2"/>
        <v>0</v>
      </c>
      <c r="M15" s="664">
        <f t="shared" si="2"/>
        <v>0</v>
      </c>
      <c r="N15" s="664">
        <f t="shared" si="2"/>
        <v>0</v>
      </c>
      <c r="O15" s="664">
        <f t="shared" si="2"/>
        <v>0</v>
      </c>
      <c r="P15" s="664">
        <f t="shared" si="2"/>
        <v>0</v>
      </c>
      <c r="Q15" s="664">
        <f t="shared" si="2"/>
        <v>0</v>
      </c>
      <c r="R15" s="664">
        <f t="shared" si="2"/>
        <v>0</v>
      </c>
      <c r="S15" s="664">
        <f t="shared" si="2"/>
        <v>0</v>
      </c>
      <c r="T15" s="664">
        <f t="shared" si="2"/>
        <v>0</v>
      </c>
      <c r="U15" s="664">
        <f t="shared" si="2"/>
        <v>0</v>
      </c>
      <c r="V15" s="664">
        <f t="shared" si="2"/>
        <v>0</v>
      </c>
      <c r="W15" s="664">
        <f t="shared" si="2"/>
        <v>0</v>
      </c>
      <c r="X15" s="664">
        <f t="shared" si="2"/>
        <v>0</v>
      </c>
      <c r="Y15" s="664">
        <f t="shared" si="2"/>
        <v>0</v>
      </c>
      <c r="Z15" s="664">
        <f t="shared" si="2"/>
        <v>0</v>
      </c>
      <c r="AA15" s="664">
        <f t="shared" si="2"/>
        <v>0</v>
      </c>
    </row>
    <row r="16" spans="1:28">
      <c r="A16" s="455">
        <v>2.1</v>
      </c>
      <c r="B16" s="475" t="s">
        <v>475</v>
      </c>
      <c r="C16" s="661">
        <f t="shared" si="1"/>
        <v>0</v>
      </c>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row>
    <row r="17" spans="1:27">
      <c r="A17" s="455">
        <v>2.2000000000000002</v>
      </c>
      <c r="B17" s="475" t="s">
        <v>476</v>
      </c>
      <c r="C17" s="661">
        <v>22738202.080000002</v>
      </c>
      <c r="D17" s="650">
        <v>22738202.080000002</v>
      </c>
      <c r="E17" s="650"/>
      <c r="F17" s="650"/>
      <c r="G17" s="650"/>
      <c r="H17" s="650"/>
      <c r="I17" s="650"/>
      <c r="J17" s="650"/>
      <c r="K17" s="650"/>
      <c r="L17" s="650"/>
      <c r="M17" s="650"/>
      <c r="N17" s="650"/>
      <c r="O17" s="650"/>
      <c r="P17" s="650"/>
      <c r="Q17" s="650"/>
      <c r="R17" s="650"/>
      <c r="S17" s="650"/>
      <c r="T17" s="650"/>
      <c r="U17" s="650"/>
      <c r="V17" s="650"/>
      <c r="W17" s="650"/>
      <c r="X17" s="650"/>
      <c r="Y17" s="650"/>
      <c r="Z17" s="650"/>
      <c r="AA17" s="650"/>
    </row>
    <row r="18" spans="1:27">
      <c r="A18" s="455">
        <v>2.2999999999999998</v>
      </c>
      <c r="B18" s="475" t="s">
        <v>477</v>
      </c>
      <c r="C18" s="661">
        <v>26125726.030000001</v>
      </c>
      <c r="D18" s="650">
        <v>26125726.030000001</v>
      </c>
      <c r="E18" s="650"/>
      <c r="F18" s="650"/>
      <c r="G18" s="650"/>
      <c r="H18" s="650"/>
      <c r="I18" s="650"/>
      <c r="J18" s="650"/>
      <c r="K18" s="650"/>
      <c r="L18" s="650"/>
      <c r="M18" s="650"/>
      <c r="N18" s="650"/>
      <c r="O18" s="650"/>
      <c r="P18" s="650"/>
      <c r="Q18" s="650"/>
      <c r="R18" s="650"/>
      <c r="S18" s="650"/>
      <c r="T18" s="650"/>
      <c r="U18" s="650"/>
      <c r="V18" s="650"/>
      <c r="W18" s="650"/>
      <c r="X18" s="650"/>
      <c r="Y18" s="650"/>
      <c r="Z18" s="650"/>
      <c r="AA18" s="650"/>
    </row>
    <row r="19" spans="1:27">
      <c r="A19" s="455">
        <v>2.4</v>
      </c>
      <c r="B19" s="475" t="s">
        <v>478</v>
      </c>
      <c r="C19" s="661">
        <f t="shared" si="1"/>
        <v>0</v>
      </c>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row>
    <row r="20" spans="1:27">
      <c r="A20" s="455">
        <v>2.5</v>
      </c>
      <c r="B20" s="475" t="s">
        <v>479</v>
      </c>
      <c r="C20" s="661">
        <f t="shared" si="1"/>
        <v>0</v>
      </c>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row>
    <row r="21" spans="1:27">
      <c r="A21" s="455">
        <v>2.6</v>
      </c>
      <c r="B21" s="475" t="s">
        <v>480</v>
      </c>
      <c r="C21" s="661">
        <f>D21+H21+L21+T21</f>
        <v>0</v>
      </c>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row>
    <row r="22" spans="1:27">
      <c r="A22" s="483">
        <v>3</v>
      </c>
      <c r="B22" s="459" t="s">
        <v>521</v>
      </c>
      <c r="C22" s="652">
        <f>C27+C28</f>
        <v>44052871.460000001</v>
      </c>
      <c r="D22" s="652"/>
      <c r="E22" s="665"/>
      <c r="F22" s="665"/>
      <c r="G22" s="665"/>
      <c r="H22" s="459"/>
      <c r="I22" s="665"/>
      <c r="J22" s="665"/>
      <c r="K22" s="665"/>
      <c r="L22" s="459"/>
      <c r="M22" s="665"/>
      <c r="N22" s="665"/>
      <c r="O22" s="665"/>
      <c r="P22" s="665"/>
      <c r="Q22" s="665"/>
      <c r="R22" s="665"/>
      <c r="S22" s="665"/>
      <c r="T22" s="459"/>
      <c r="U22" s="665"/>
      <c r="V22" s="665"/>
      <c r="W22" s="665"/>
      <c r="X22" s="665"/>
      <c r="Y22" s="665"/>
      <c r="Z22" s="665"/>
      <c r="AA22" s="665"/>
    </row>
    <row r="23" spans="1:27">
      <c r="A23" s="455">
        <v>3.1</v>
      </c>
      <c r="B23" s="475" t="s">
        <v>475</v>
      </c>
      <c r="C23" s="666"/>
      <c r="D23" s="652"/>
      <c r="E23" s="665"/>
      <c r="F23" s="665"/>
      <c r="G23" s="665"/>
      <c r="H23" s="459"/>
      <c r="I23" s="665"/>
      <c r="J23" s="665"/>
      <c r="K23" s="665"/>
      <c r="L23" s="459"/>
      <c r="M23" s="665"/>
      <c r="N23" s="665"/>
      <c r="O23" s="665"/>
      <c r="P23" s="665"/>
      <c r="Q23" s="665"/>
      <c r="R23" s="665"/>
      <c r="S23" s="665"/>
      <c r="T23" s="459"/>
      <c r="U23" s="665"/>
      <c r="V23" s="665"/>
      <c r="W23" s="665"/>
      <c r="X23" s="665"/>
      <c r="Y23" s="665"/>
      <c r="Z23" s="665"/>
      <c r="AA23" s="665"/>
    </row>
    <row r="24" spans="1:27">
      <c r="A24" s="455">
        <v>3.2</v>
      </c>
      <c r="B24" s="475" t="s">
        <v>476</v>
      </c>
      <c r="C24" s="666"/>
      <c r="D24" s="652"/>
      <c r="E24" s="665"/>
      <c r="F24" s="665"/>
      <c r="G24" s="665"/>
      <c r="H24" s="459"/>
      <c r="I24" s="665"/>
      <c r="J24" s="665"/>
      <c r="K24" s="665"/>
      <c r="L24" s="459"/>
      <c r="M24" s="665"/>
      <c r="N24" s="665"/>
      <c r="O24" s="665"/>
      <c r="P24" s="665"/>
      <c r="Q24" s="665"/>
      <c r="R24" s="665"/>
      <c r="S24" s="665"/>
      <c r="T24" s="459"/>
      <c r="U24" s="665"/>
      <c r="V24" s="665"/>
      <c r="W24" s="665"/>
      <c r="X24" s="665"/>
      <c r="Y24" s="665"/>
      <c r="Z24" s="665"/>
      <c r="AA24" s="665"/>
    </row>
    <row r="25" spans="1:27">
      <c r="A25" s="455">
        <v>3.3</v>
      </c>
      <c r="B25" s="475" t="s">
        <v>477</v>
      </c>
      <c r="C25" s="666"/>
      <c r="D25" s="652"/>
      <c r="E25" s="665"/>
      <c r="F25" s="665"/>
      <c r="G25" s="665"/>
      <c r="H25" s="459"/>
      <c r="I25" s="665"/>
      <c r="J25" s="665"/>
      <c r="K25" s="665"/>
      <c r="L25" s="459"/>
      <c r="M25" s="665"/>
      <c r="N25" s="665"/>
      <c r="O25" s="665"/>
      <c r="P25" s="665"/>
      <c r="Q25" s="665"/>
      <c r="R25" s="665"/>
      <c r="S25" s="665"/>
      <c r="T25" s="459"/>
      <c r="U25" s="665"/>
      <c r="V25" s="665"/>
      <c r="W25" s="665"/>
      <c r="X25" s="665"/>
      <c r="Y25" s="665"/>
      <c r="Z25" s="665"/>
      <c r="AA25" s="665"/>
    </row>
    <row r="26" spans="1:27">
      <c r="A26" s="455">
        <v>3.4</v>
      </c>
      <c r="B26" s="475" t="s">
        <v>478</v>
      </c>
      <c r="C26" s="666"/>
      <c r="D26" s="652"/>
      <c r="E26" s="665"/>
      <c r="F26" s="665"/>
      <c r="G26" s="665"/>
      <c r="H26" s="459"/>
      <c r="I26" s="665"/>
      <c r="J26" s="665"/>
      <c r="K26" s="665"/>
      <c r="L26" s="459"/>
      <c r="M26" s="665"/>
      <c r="N26" s="665"/>
      <c r="O26" s="665"/>
      <c r="P26" s="665"/>
      <c r="Q26" s="665"/>
      <c r="R26" s="665"/>
      <c r="S26" s="665"/>
      <c r="T26" s="459"/>
      <c r="U26" s="665"/>
      <c r="V26" s="665"/>
      <c r="W26" s="665"/>
      <c r="X26" s="665"/>
      <c r="Y26" s="665"/>
      <c r="Z26" s="665"/>
      <c r="AA26" s="665"/>
    </row>
    <row r="27" spans="1:27">
      <c r="A27" s="455">
        <v>3.5</v>
      </c>
      <c r="B27" s="475" t="s">
        <v>479</v>
      </c>
      <c r="C27" s="667">
        <f>D27</f>
        <v>2950371</v>
      </c>
      <c r="D27" s="650">
        <v>2950371</v>
      </c>
      <c r="E27" s="665"/>
      <c r="F27" s="665"/>
      <c r="G27" s="665"/>
      <c r="H27" s="459"/>
      <c r="I27" s="665"/>
      <c r="J27" s="665"/>
      <c r="K27" s="665"/>
      <c r="L27" s="459"/>
      <c r="M27" s="665"/>
      <c r="N27" s="665"/>
      <c r="O27" s="665"/>
      <c r="P27" s="665"/>
      <c r="Q27" s="665"/>
      <c r="R27" s="665"/>
      <c r="S27" s="665"/>
      <c r="T27" s="459"/>
      <c r="U27" s="665"/>
      <c r="V27" s="665"/>
      <c r="W27" s="665"/>
      <c r="X27" s="665"/>
      <c r="Y27" s="665"/>
      <c r="Z27" s="665"/>
      <c r="AA27" s="665"/>
    </row>
    <row r="28" spans="1:27">
      <c r="A28" s="455">
        <v>3.6</v>
      </c>
      <c r="B28" s="475" t="s">
        <v>480</v>
      </c>
      <c r="C28" s="667">
        <v>41102500.460000001</v>
      </c>
      <c r="D28" s="652"/>
      <c r="E28" s="665"/>
      <c r="F28" s="665"/>
      <c r="G28" s="665"/>
      <c r="H28" s="459"/>
      <c r="I28" s="665"/>
      <c r="J28" s="665"/>
      <c r="K28" s="665"/>
      <c r="L28" s="459"/>
      <c r="M28" s="665"/>
      <c r="N28" s="665"/>
      <c r="O28" s="665"/>
      <c r="P28" s="665"/>
      <c r="Q28" s="665"/>
      <c r="R28" s="665"/>
      <c r="S28" s="665"/>
      <c r="T28" s="459"/>
      <c r="U28" s="665"/>
      <c r="V28" s="665"/>
      <c r="W28" s="665"/>
      <c r="X28" s="665"/>
      <c r="Y28" s="665"/>
      <c r="Z28" s="665"/>
      <c r="AA28" s="665"/>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C1" zoomScaleNormal="100" workbookViewId="0">
      <selection activeCell="K26" sqref="K26"/>
    </sheetView>
  </sheetViews>
  <sheetFormatPr defaultColWidth="9.21875" defaultRowHeight="12"/>
  <cols>
    <col min="1" max="1" width="11.77734375" style="466" bestFit="1" customWidth="1"/>
    <col min="2" max="2" width="90.21875" style="466" bestFit="1" customWidth="1"/>
    <col min="3" max="3" width="20.21875" style="466" customWidth="1"/>
    <col min="4" max="4" width="22.21875" style="466" customWidth="1"/>
    <col min="5" max="7" width="17.109375" style="466" customWidth="1"/>
    <col min="8" max="8" width="22.21875" style="466" customWidth="1"/>
    <col min="9" max="10" width="17.109375" style="466" customWidth="1"/>
    <col min="11" max="27" width="22.21875" style="466" customWidth="1"/>
    <col min="28" max="16384" width="9.21875" style="466"/>
  </cols>
  <sheetData>
    <row r="1" spans="1:27" ht="13.8">
      <c r="A1" s="369" t="s">
        <v>31</v>
      </c>
      <c r="B1" s="452" t="str">
        <f>'Info '!C2</f>
        <v>JSC "CREDOBANK"</v>
      </c>
    </row>
    <row r="2" spans="1:27">
      <c r="A2" s="369" t="s">
        <v>32</v>
      </c>
      <c r="B2" s="451">
        <f>'1. key ratios '!B2</f>
        <v>45107</v>
      </c>
    </row>
    <row r="3" spans="1:27">
      <c r="A3" s="370" t="s">
        <v>483</v>
      </c>
      <c r="C3" s="468"/>
    </row>
    <row r="4" spans="1:27" ht="12.6" thickBot="1">
      <c r="A4" s="370"/>
      <c r="B4" s="468"/>
      <c r="C4" s="468"/>
    </row>
    <row r="5" spans="1:27" ht="13.5" customHeight="1">
      <c r="A5" s="799" t="s">
        <v>689</v>
      </c>
      <c r="B5" s="800"/>
      <c r="C5" s="808" t="s">
        <v>688</v>
      </c>
      <c r="D5" s="809"/>
      <c r="E5" s="809"/>
      <c r="F5" s="809"/>
      <c r="G5" s="809"/>
      <c r="H5" s="809"/>
      <c r="I5" s="809"/>
      <c r="J5" s="809"/>
      <c r="K5" s="809"/>
      <c r="L5" s="809"/>
      <c r="M5" s="809"/>
      <c r="N5" s="809"/>
      <c r="O5" s="809"/>
      <c r="P5" s="809"/>
      <c r="Q5" s="809"/>
      <c r="R5" s="809"/>
      <c r="S5" s="810"/>
      <c r="T5" s="490"/>
      <c r="U5" s="490"/>
      <c r="V5" s="490"/>
      <c r="W5" s="490"/>
      <c r="X5" s="490"/>
      <c r="Y5" s="490"/>
      <c r="Z5" s="490"/>
      <c r="AA5" s="489"/>
    </row>
    <row r="6" spans="1:27" ht="12" customHeight="1">
      <c r="A6" s="801"/>
      <c r="B6" s="802"/>
      <c r="C6" s="805" t="s">
        <v>65</v>
      </c>
      <c r="D6" s="797" t="s">
        <v>685</v>
      </c>
      <c r="E6" s="797"/>
      <c r="F6" s="797"/>
      <c r="G6" s="797"/>
      <c r="H6" s="797" t="s">
        <v>684</v>
      </c>
      <c r="I6" s="797"/>
      <c r="J6" s="797"/>
      <c r="K6" s="797"/>
      <c r="L6" s="487"/>
      <c r="M6" s="798" t="s">
        <v>683</v>
      </c>
      <c r="N6" s="798"/>
      <c r="O6" s="798"/>
      <c r="P6" s="798"/>
      <c r="Q6" s="798"/>
      <c r="R6" s="798"/>
      <c r="S6" s="807"/>
      <c r="T6" s="490"/>
      <c r="U6" s="786" t="s">
        <v>682</v>
      </c>
      <c r="V6" s="786"/>
      <c r="W6" s="786"/>
      <c r="X6" s="786"/>
      <c r="Y6" s="786"/>
      <c r="Z6" s="786"/>
      <c r="AA6" s="779"/>
    </row>
    <row r="7" spans="1:27" ht="24">
      <c r="A7" s="803"/>
      <c r="B7" s="804"/>
      <c r="C7" s="806"/>
      <c r="D7" s="486"/>
      <c r="E7" s="463" t="s">
        <v>473</v>
      </c>
      <c r="F7" s="463" t="s">
        <v>680</v>
      </c>
      <c r="G7" s="465" t="s">
        <v>681</v>
      </c>
      <c r="H7" s="467"/>
      <c r="I7" s="463" t="s">
        <v>473</v>
      </c>
      <c r="J7" s="463" t="s">
        <v>680</v>
      </c>
      <c r="K7" s="465" t="s">
        <v>681</v>
      </c>
      <c r="L7" s="485"/>
      <c r="M7" s="463" t="s">
        <v>473</v>
      </c>
      <c r="N7" s="463" t="s">
        <v>680</v>
      </c>
      <c r="O7" s="463" t="s">
        <v>679</v>
      </c>
      <c r="P7" s="463" t="s">
        <v>678</v>
      </c>
      <c r="Q7" s="463" t="s">
        <v>677</v>
      </c>
      <c r="R7" s="463" t="s">
        <v>676</v>
      </c>
      <c r="S7" s="517" t="s">
        <v>675</v>
      </c>
      <c r="T7" s="516"/>
      <c r="U7" s="463" t="s">
        <v>473</v>
      </c>
      <c r="V7" s="463" t="s">
        <v>680</v>
      </c>
      <c r="W7" s="463" t="s">
        <v>679</v>
      </c>
      <c r="X7" s="463" t="s">
        <v>678</v>
      </c>
      <c r="Y7" s="463" t="s">
        <v>677</v>
      </c>
      <c r="Z7" s="463" t="s">
        <v>676</v>
      </c>
      <c r="AA7" s="463" t="s">
        <v>675</v>
      </c>
    </row>
    <row r="8" spans="1:27">
      <c r="A8" s="515">
        <v>1</v>
      </c>
      <c r="B8" s="514" t="s">
        <v>474</v>
      </c>
      <c r="C8" s="668">
        <f>D8+H8+L8+T8</f>
        <v>1880823633.203979</v>
      </c>
      <c r="D8" s="650">
        <v>1776173461.970726</v>
      </c>
      <c r="E8" s="650">
        <v>7476723.8601352917</v>
      </c>
      <c r="F8" s="650">
        <v>0</v>
      </c>
      <c r="G8" s="650">
        <v>0</v>
      </c>
      <c r="H8" s="650">
        <v>89597069.90571022</v>
      </c>
      <c r="I8" s="650">
        <v>3335435.535276562</v>
      </c>
      <c r="J8" s="650">
        <v>10994827.721227223</v>
      </c>
      <c r="K8" s="650">
        <v>0</v>
      </c>
      <c r="L8" s="650">
        <v>14744974.937542599</v>
      </c>
      <c r="M8" s="650">
        <v>57253.097634423051</v>
      </c>
      <c r="N8" s="650">
        <v>187195.73427820631</v>
      </c>
      <c r="O8" s="650">
        <v>13689883.509862589</v>
      </c>
      <c r="P8" s="650">
        <v>0</v>
      </c>
      <c r="Q8" s="650">
        <v>0</v>
      </c>
      <c r="R8" s="650">
        <v>0</v>
      </c>
      <c r="S8" s="650">
        <v>0</v>
      </c>
      <c r="T8" s="650">
        <v>308126.38999999996</v>
      </c>
      <c r="U8" s="650">
        <v>0</v>
      </c>
      <c r="V8" s="650">
        <v>0</v>
      </c>
      <c r="W8" s="650">
        <v>0</v>
      </c>
      <c r="X8" s="650">
        <v>0</v>
      </c>
      <c r="Y8" s="650">
        <v>0</v>
      </c>
      <c r="Z8" s="650">
        <v>0</v>
      </c>
      <c r="AA8" s="669">
        <v>0</v>
      </c>
    </row>
    <row r="9" spans="1:27">
      <c r="A9" s="507">
        <v>1.1000000000000001</v>
      </c>
      <c r="B9" s="513" t="s">
        <v>484</v>
      </c>
      <c r="C9" s="670">
        <f>D9+H9+L9+T9</f>
        <v>814551656.9241302</v>
      </c>
      <c r="D9" s="650">
        <v>778273572.36123228</v>
      </c>
      <c r="E9" s="650">
        <v>2324317.7631354039</v>
      </c>
      <c r="F9" s="455"/>
      <c r="G9" s="455"/>
      <c r="H9" s="650">
        <v>33262042.019892465</v>
      </c>
      <c r="I9" s="650">
        <v>1117649.8205418671</v>
      </c>
      <c r="J9" s="650">
        <v>2288342.5002133725</v>
      </c>
      <c r="K9" s="650">
        <v>54354.636807775627</v>
      </c>
      <c r="L9" s="650">
        <v>2767750.2397054443</v>
      </c>
      <c r="M9" s="650">
        <v>8618.6060713411443</v>
      </c>
      <c r="N9" s="650">
        <v>64681.061008430814</v>
      </c>
      <c r="O9" s="650">
        <v>2402018.4975085268</v>
      </c>
      <c r="P9" s="650"/>
      <c r="Q9" s="455"/>
      <c r="R9" s="455"/>
      <c r="S9" s="455"/>
      <c r="T9" s="650">
        <v>248292.3033</v>
      </c>
      <c r="U9" s="650"/>
      <c r="V9" s="455"/>
      <c r="W9" s="455"/>
      <c r="X9" s="455"/>
      <c r="Y9" s="455"/>
      <c r="Z9" s="455"/>
      <c r="AA9" s="495"/>
    </row>
    <row r="10" spans="1:27">
      <c r="A10" s="511" t="s">
        <v>15</v>
      </c>
      <c r="B10" s="512" t="s">
        <v>485</v>
      </c>
      <c r="C10" s="671">
        <f>SUM(C11:C14)</f>
        <v>503771520.56522101</v>
      </c>
      <c r="D10" s="671">
        <f t="shared" ref="D10:AA10" si="0">SUM(D11:D14)</f>
        <v>488814578.23147523</v>
      </c>
      <c r="E10" s="671">
        <f t="shared" si="0"/>
        <v>849946.27372494829</v>
      </c>
      <c r="F10" s="671">
        <f t="shared" si="0"/>
        <v>0</v>
      </c>
      <c r="G10" s="671">
        <f t="shared" si="0"/>
        <v>0</v>
      </c>
      <c r="H10" s="671">
        <f t="shared" si="0"/>
        <v>14128418.235599656</v>
      </c>
      <c r="I10" s="671">
        <f t="shared" si="0"/>
        <v>290013.54833535803</v>
      </c>
      <c r="J10" s="671">
        <f t="shared" si="0"/>
        <v>528656.03425061191</v>
      </c>
      <c r="K10" s="671">
        <f t="shared" si="0"/>
        <v>0</v>
      </c>
      <c r="L10" s="671">
        <f t="shared" si="0"/>
        <v>796053.8481461358</v>
      </c>
      <c r="M10" s="671">
        <f t="shared" si="0"/>
        <v>0</v>
      </c>
      <c r="N10" s="671">
        <f t="shared" si="0"/>
        <v>0</v>
      </c>
      <c r="O10" s="671">
        <f t="shared" si="0"/>
        <v>793124.12778287998</v>
      </c>
      <c r="P10" s="671">
        <f t="shared" si="0"/>
        <v>0</v>
      </c>
      <c r="Q10" s="671">
        <f t="shared" si="0"/>
        <v>0</v>
      </c>
      <c r="R10" s="671">
        <f t="shared" si="0"/>
        <v>0</v>
      </c>
      <c r="S10" s="671">
        <f t="shared" si="0"/>
        <v>0</v>
      </c>
      <c r="T10" s="671">
        <f t="shared" si="0"/>
        <v>32470.25</v>
      </c>
      <c r="U10" s="671">
        <f t="shared" si="0"/>
        <v>0</v>
      </c>
      <c r="V10" s="671">
        <f t="shared" si="0"/>
        <v>0</v>
      </c>
      <c r="W10" s="671">
        <f t="shared" si="0"/>
        <v>0</v>
      </c>
      <c r="X10" s="671">
        <f t="shared" si="0"/>
        <v>0</v>
      </c>
      <c r="Y10" s="671">
        <f t="shared" si="0"/>
        <v>0</v>
      </c>
      <c r="Z10" s="671">
        <f t="shared" si="0"/>
        <v>0</v>
      </c>
      <c r="AA10" s="671">
        <f t="shared" si="0"/>
        <v>0</v>
      </c>
    </row>
    <row r="11" spans="1:27" ht="14.4">
      <c r="A11" s="509" t="s">
        <v>486</v>
      </c>
      <c r="B11" s="510" t="s">
        <v>487</v>
      </c>
      <c r="C11" s="670">
        <f>D11+H11+L11+T11</f>
        <v>295571644.74686569</v>
      </c>
      <c r="D11" s="641">
        <v>287367785.56176567</v>
      </c>
      <c r="E11" s="641">
        <v>445289.49065648933</v>
      </c>
      <c r="F11" s="455"/>
      <c r="G11" s="455"/>
      <c r="H11" s="641">
        <v>7633948.4985605273</v>
      </c>
      <c r="I11" s="672">
        <v>212752.48278957678</v>
      </c>
      <c r="J11" s="580">
        <v>497492.45426464401</v>
      </c>
      <c r="K11" s="455"/>
      <c r="L11" s="580">
        <v>537440.43653947359</v>
      </c>
      <c r="M11" s="672"/>
      <c r="N11" s="455"/>
      <c r="O11" s="650">
        <v>534510.71617621765</v>
      </c>
      <c r="P11" s="580"/>
      <c r="Q11" s="455"/>
      <c r="R11" s="455"/>
      <c r="S11" s="455"/>
      <c r="T11" s="672">
        <v>32470.25</v>
      </c>
      <c r="U11" s="455"/>
      <c r="V11" s="455"/>
      <c r="W11" s="455"/>
      <c r="X11" s="455"/>
      <c r="Y11" s="455"/>
      <c r="Z11" s="455"/>
      <c r="AA11" s="495"/>
    </row>
    <row r="12" spans="1:27" ht="14.4">
      <c r="A12" s="509" t="s">
        <v>488</v>
      </c>
      <c r="B12" s="510" t="s">
        <v>489</v>
      </c>
      <c r="C12" s="670">
        <f t="shared" ref="C12:C22" si="1">D12+H12+L12+T12</f>
        <v>107898221.00172217</v>
      </c>
      <c r="D12" s="641">
        <v>105940494.19892554</v>
      </c>
      <c r="E12" s="641"/>
      <c r="F12" s="455"/>
      <c r="G12" s="455"/>
      <c r="H12" s="641">
        <v>1957726.8027966288</v>
      </c>
      <c r="I12" s="673"/>
      <c r="J12" s="672"/>
      <c r="K12" s="455"/>
      <c r="L12" s="580"/>
      <c r="M12" s="455"/>
      <c r="N12" s="455"/>
      <c r="O12" s="650"/>
      <c r="P12" s="580"/>
      <c r="Q12" s="455"/>
      <c r="R12" s="455"/>
      <c r="S12" s="455"/>
      <c r="T12" s="455"/>
      <c r="U12" s="455"/>
      <c r="V12" s="455"/>
      <c r="W12" s="455"/>
      <c r="X12" s="455"/>
      <c r="Y12" s="455"/>
      <c r="Z12" s="455"/>
      <c r="AA12" s="495"/>
    </row>
    <row r="13" spans="1:27" ht="14.4">
      <c r="A13" s="509" t="s">
        <v>490</v>
      </c>
      <c r="B13" s="510" t="s">
        <v>491</v>
      </c>
      <c r="C13" s="670">
        <f t="shared" si="1"/>
        <v>50764081.78652896</v>
      </c>
      <c r="D13" s="641">
        <v>49340757.436297312</v>
      </c>
      <c r="E13" s="641">
        <v>20614.715294640479</v>
      </c>
      <c r="F13" s="455"/>
      <c r="G13" s="455"/>
      <c r="H13" s="641">
        <v>1202456.2866155514</v>
      </c>
      <c r="I13" s="674"/>
      <c r="J13" s="580"/>
      <c r="K13" s="455"/>
      <c r="L13" s="580">
        <v>220868.06361610017</v>
      </c>
      <c r="M13" s="455"/>
      <c r="N13" s="455"/>
      <c r="O13" s="650">
        <v>220868.06361610017</v>
      </c>
      <c r="P13" s="580"/>
      <c r="Q13" s="455"/>
      <c r="R13" s="455"/>
      <c r="S13" s="455"/>
      <c r="T13" s="455"/>
      <c r="U13" s="455"/>
      <c r="V13" s="455"/>
      <c r="W13" s="455"/>
      <c r="X13" s="455"/>
      <c r="Y13" s="455"/>
      <c r="Z13" s="455"/>
      <c r="AA13" s="495"/>
    </row>
    <row r="14" spans="1:27" ht="14.4">
      <c r="A14" s="509" t="s">
        <v>492</v>
      </c>
      <c r="B14" s="510" t="s">
        <v>493</v>
      </c>
      <c r="C14" s="670">
        <f t="shared" si="1"/>
        <v>49537573.030104227</v>
      </c>
      <c r="D14" s="641">
        <v>46165541.034486718</v>
      </c>
      <c r="E14" s="641">
        <v>384042.06777381845</v>
      </c>
      <c r="F14" s="455"/>
      <c r="G14" s="455"/>
      <c r="H14" s="641">
        <v>3334286.6476269476</v>
      </c>
      <c r="I14" s="673">
        <v>77261.065545781283</v>
      </c>
      <c r="J14" s="455">
        <v>31163.579985967946</v>
      </c>
      <c r="K14" s="455"/>
      <c r="L14" s="580">
        <v>37745.347990562135</v>
      </c>
      <c r="M14" s="455"/>
      <c r="N14" s="455"/>
      <c r="O14" s="650">
        <v>37745.347990562135</v>
      </c>
      <c r="P14" s="580"/>
      <c r="Q14" s="455"/>
      <c r="R14" s="455"/>
      <c r="S14" s="455"/>
      <c r="T14" s="455"/>
      <c r="U14" s="455"/>
      <c r="V14" s="455"/>
      <c r="W14" s="455"/>
      <c r="X14" s="455"/>
      <c r="Y14" s="455"/>
      <c r="Z14" s="455"/>
      <c r="AA14" s="495"/>
    </row>
    <row r="15" spans="1:27" ht="14.4">
      <c r="A15" s="508">
        <v>1.2</v>
      </c>
      <c r="B15" s="506" t="s">
        <v>687</v>
      </c>
      <c r="C15" s="670">
        <f t="shared" si="1"/>
        <v>11633121.674304537</v>
      </c>
      <c r="D15" s="672">
        <v>4928618.861665993</v>
      </c>
      <c r="E15" s="580">
        <v>530968.09558205644</v>
      </c>
      <c r="F15" s="455"/>
      <c r="G15" s="455"/>
      <c r="H15" s="675">
        <v>4417984.8180514062</v>
      </c>
      <c r="I15" s="675">
        <v>136621.13339841121</v>
      </c>
      <c r="J15" s="675">
        <v>838265.40695836407</v>
      </c>
      <c r="K15" s="455">
        <v>6364.0589188927188</v>
      </c>
      <c r="L15" s="675">
        <v>2271056.1274223356</v>
      </c>
      <c r="M15" s="455">
        <v>7458.5567217132302</v>
      </c>
      <c r="N15" s="455">
        <v>55648.452694709238</v>
      </c>
      <c r="O15" s="650">
        <v>1955696.3825467487</v>
      </c>
      <c r="P15" s="650"/>
      <c r="Q15" s="455"/>
      <c r="R15" s="455"/>
      <c r="S15" s="455"/>
      <c r="T15" s="650">
        <v>15461.867164802074</v>
      </c>
      <c r="U15" s="455"/>
      <c r="V15" s="455"/>
      <c r="W15" s="455"/>
      <c r="X15" s="455"/>
      <c r="Y15" s="455"/>
      <c r="Z15" s="455"/>
      <c r="AA15" s="495"/>
    </row>
    <row r="16" spans="1:27">
      <c r="A16" s="507">
        <v>1.3</v>
      </c>
      <c r="B16" s="506" t="s">
        <v>532</v>
      </c>
      <c r="C16" s="505"/>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3"/>
    </row>
    <row r="17" spans="1:27">
      <c r="A17" s="500" t="s">
        <v>494</v>
      </c>
      <c r="B17" s="502" t="s">
        <v>495</v>
      </c>
      <c r="C17" s="670">
        <f t="shared" si="1"/>
        <v>796869055.64064562</v>
      </c>
      <c r="D17" s="650">
        <v>761757431.4379344</v>
      </c>
      <c r="E17" s="650">
        <v>2231694.3845262965</v>
      </c>
      <c r="F17" s="455"/>
      <c r="G17" s="455"/>
      <c r="H17" s="650">
        <v>32196724.795858666</v>
      </c>
      <c r="I17" s="650">
        <v>1092899.6595804943</v>
      </c>
      <c r="J17" s="650">
        <v>2192114.3279715655</v>
      </c>
      <c r="K17" s="650">
        <v>52402.301722493299</v>
      </c>
      <c r="L17" s="650">
        <v>2666607.1035525776</v>
      </c>
      <c r="M17" s="650">
        <v>8618.6060713411443</v>
      </c>
      <c r="N17" s="650">
        <v>64681.061008430814</v>
      </c>
      <c r="O17" s="650">
        <v>2300875.36135566</v>
      </c>
      <c r="P17" s="455"/>
      <c r="Q17" s="455"/>
      <c r="R17" s="455"/>
      <c r="S17" s="455"/>
      <c r="T17" s="650">
        <v>248292.3033</v>
      </c>
      <c r="U17" s="650"/>
      <c r="V17" s="455"/>
      <c r="W17" s="455"/>
      <c r="X17" s="455"/>
      <c r="Y17" s="455"/>
      <c r="Z17" s="455"/>
      <c r="AA17" s="495"/>
    </row>
    <row r="18" spans="1:27">
      <c r="A18" s="498" t="s">
        <v>496</v>
      </c>
      <c r="B18" s="499" t="s">
        <v>497</v>
      </c>
      <c r="C18" s="670">
        <f t="shared" si="1"/>
        <v>491422694.25378674</v>
      </c>
      <c r="D18" s="650">
        <v>477070883.60555845</v>
      </c>
      <c r="E18" s="650">
        <v>794290.89027814358</v>
      </c>
      <c r="F18" s="455"/>
      <c r="G18" s="455"/>
      <c r="H18" s="650">
        <v>13540090.298072707</v>
      </c>
      <c r="I18" s="650">
        <v>273129.0364911182</v>
      </c>
      <c r="J18" s="650">
        <v>522721.72605778417</v>
      </c>
      <c r="K18" s="455"/>
      <c r="L18" s="650">
        <v>779250.10015557369</v>
      </c>
      <c r="M18" s="455"/>
      <c r="N18" s="455"/>
      <c r="O18" s="650">
        <v>776320.37979231786</v>
      </c>
      <c r="P18" s="455"/>
      <c r="Q18" s="455"/>
      <c r="R18" s="455"/>
      <c r="S18" s="455"/>
      <c r="T18" s="650">
        <v>32470.25</v>
      </c>
      <c r="U18" s="455"/>
      <c r="V18" s="455"/>
      <c r="W18" s="455"/>
      <c r="X18" s="455"/>
      <c r="Y18" s="455"/>
      <c r="Z18" s="455"/>
      <c r="AA18" s="495"/>
    </row>
    <row r="19" spans="1:27">
      <c r="A19" s="500" t="s">
        <v>498</v>
      </c>
      <c r="B19" s="501" t="s">
        <v>499</v>
      </c>
      <c r="C19" s="670">
        <f t="shared" si="1"/>
        <v>1306388788.283231</v>
      </c>
      <c r="D19" s="650">
        <v>1253659015.5616875</v>
      </c>
      <c r="E19" s="650">
        <v>3145184.8067973549</v>
      </c>
      <c r="F19" s="455"/>
      <c r="G19" s="455"/>
      <c r="H19" s="650">
        <v>48488753.998613104</v>
      </c>
      <c r="I19" s="650">
        <v>1136399.4435086739</v>
      </c>
      <c r="J19" s="650">
        <v>3288231.3584460663</v>
      </c>
      <c r="K19" s="650">
        <v>73892.353192224386</v>
      </c>
      <c r="L19" s="650">
        <v>2337455.9062305568</v>
      </c>
      <c r="M19" s="650">
        <v>12901.003928658854</v>
      </c>
      <c r="N19" s="650">
        <v>78945.538991569192</v>
      </c>
      <c r="O19" s="650">
        <v>1828515.6354883055</v>
      </c>
      <c r="P19" s="650">
        <v>25573.875283516849</v>
      </c>
      <c r="Q19" s="455"/>
      <c r="R19" s="455"/>
      <c r="S19" s="455"/>
      <c r="T19" s="650">
        <v>1903562.8166999994</v>
      </c>
      <c r="U19" s="650"/>
      <c r="V19" s="455"/>
      <c r="W19" s="455"/>
      <c r="X19" s="455"/>
      <c r="Y19" s="455"/>
      <c r="Z19" s="455"/>
      <c r="AA19" s="495"/>
    </row>
    <row r="20" spans="1:27">
      <c r="A20" s="498" t="s">
        <v>500</v>
      </c>
      <c r="B20" s="499" t="s">
        <v>497</v>
      </c>
      <c r="C20" s="670">
        <f t="shared" si="1"/>
        <v>519449508</v>
      </c>
      <c r="D20" s="650">
        <v>508233914.93000001</v>
      </c>
      <c r="E20" s="650">
        <v>582325</v>
      </c>
      <c r="F20" s="455"/>
      <c r="G20" s="455"/>
      <c r="H20" s="650">
        <v>10734481.92</v>
      </c>
      <c r="I20" s="650">
        <v>272655</v>
      </c>
      <c r="J20" s="650">
        <v>744095</v>
      </c>
      <c r="K20" s="455"/>
      <c r="L20" s="650">
        <v>298930</v>
      </c>
      <c r="M20" s="455"/>
      <c r="N20" s="455"/>
      <c r="O20" s="650">
        <v>295435</v>
      </c>
      <c r="P20" s="455"/>
      <c r="Q20" s="455"/>
      <c r="R20" s="455"/>
      <c r="S20" s="455"/>
      <c r="T20" s="650">
        <v>182181.14999999997</v>
      </c>
      <c r="U20" s="455"/>
      <c r="V20" s="455"/>
      <c r="W20" s="455"/>
      <c r="X20" s="455"/>
      <c r="Y20" s="455"/>
      <c r="Z20" s="455"/>
      <c r="AA20" s="495"/>
    </row>
    <row r="21" spans="1:27">
      <c r="A21" s="497">
        <v>1.4</v>
      </c>
      <c r="B21" s="496" t="s">
        <v>501</v>
      </c>
      <c r="C21" s="670">
        <f t="shared" si="1"/>
        <v>95821</v>
      </c>
      <c r="D21" s="650">
        <v>95821</v>
      </c>
      <c r="E21" s="455"/>
      <c r="F21" s="455"/>
      <c r="G21" s="455"/>
      <c r="H21" s="455"/>
      <c r="I21" s="455"/>
      <c r="J21" s="455"/>
      <c r="K21" s="455"/>
      <c r="L21" s="455"/>
      <c r="M21" s="455"/>
      <c r="N21" s="455"/>
      <c r="O21" s="455"/>
      <c r="P21" s="455"/>
      <c r="Q21" s="455"/>
      <c r="R21" s="455"/>
      <c r="S21" s="455"/>
      <c r="T21" s="455"/>
      <c r="U21" s="455"/>
      <c r="V21" s="455"/>
      <c r="W21" s="455"/>
      <c r="X21" s="455"/>
      <c r="Y21" s="455"/>
      <c r="Z21" s="455"/>
      <c r="AA21" s="495"/>
    </row>
    <row r="22" spans="1:27" ht="12.6" thickBot="1">
      <c r="A22" s="494">
        <v>1.5</v>
      </c>
      <c r="B22" s="493" t="s">
        <v>502</v>
      </c>
      <c r="C22" s="670">
        <f t="shared" si="1"/>
        <v>0</v>
      </c>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1"/>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A2" zoomScale="80" zoomScaleNormal="80" workbookViewId="0">
      <selection activeCell="S26" sqref="S26"/>
    </sheetView>
  </sheetViews>
  <sheetFormatPr defaultColWidth="9.21875" defaultRowHeight="12"/>
  <cols>
    <col min="1" max="1" width="11.77734375" style="466" bestFit="1" customWidth="1"/>
    <col min="2" max="2" width="93.44140625" style="466" customWidth="1"/>
    <col min="3" max="3" width="14.6640625" style="466" customWidth="1"/>
    <col min="4" max="5" width="16.109375" style="466" customWidth="1"/>
    <col min="6" max="6" width="16.109375" style="484" customWidth="1"/>
    <col min="7" max="7" width="25.21875" style="484" customWidth="1"/>
    <col min="8" max="8" width="16.109375" style="466" customWidth="1"/>
    <col min="9" max="11" width="16.109375" style="484" customWidth="1"/>
    <col min="12" max="12" width="26.21875" style="484" customWidth="1"/>
    <col min="13" max="16384" width="9.21875" style="466"/>
  </cols>
  <sheetData>
    <row r="1" spans="1:12" ht="13.8">
      <c r="A1" s="369" t="s">
        <v>31</v>
      </c>
      <c r="B1" s="452" t="str">
        <f>'Info '!C2</f>
        <v>JSC "CREDOBANK"</v>
      </c>
      <c r="F1" s="466"/>
      <c r="G1" s="466"/>
      <c r="I1" s="466"/>
      <c r="J1" s="466"/>
      <c r="K1" s="466"/>
      <c r="L1" s="466"/>
    </row>
    <row r="2" spans="1:12">
      <c r="A2" s="369" t="s">
        <v>32</v>
      </c>
      <c r="B2" s="451">
        <f>'1. key ratios '!B2</f>
        <v>45107</v>
      </c>
      <c r="F2" s="466"/>
      <c r="G2" s="466"/>
      <c r="I2" s="466"/>
      <c r="J2" s="466"/>
      <c r="K2" s="466"/>
      <c r="L2" s="466"/>
    </row>
    <row r="3" spans="1:12">
      <c r="A3" s="370" t="s">
        <v>503</v>
      </c>
      <c r="F3" s="466"/>
      <c r="G3" s="466"/>
      <c r="I3" s="466"/>
      <c r="J3" s="466"/>
      <c r="K3" s="466"/>
      <c r="L3" s="466"/>
    </row>
    <row r="4" spans="1:12">
      <c r="F4" s="466"/>
      <c r="G4" s="466"/>
      <c r="I4" s="466"/>
      <c r="J4" s="466"/>
      <c r="K4" s="466"/>
      <c r="L4" s="466"/>
    </row>
    <row r="5" spans="1:12" ht="37.5" customHeight="1">
      <c r="A5" s="765" t="s">
        <v>520</v>
      </c>
      <c r="B5" s="766"/>
      <c r="C5" s="811" t="s">
        <v>504</v>
      </c>
      <c r="D5" s="812"/>
      <c r="E5" s="812"/>
      <c r="F5" s="812"/>
      <c r="G5" s="812"/>
      <c r="H5" s="811" t="s">
        <v>664</v>
      </c>
      <c r="I5" s="813"/>
      <c r="J5" s="813"/>
      <c r="K5" s="813"/>
      <c r="L5" s="814"/>
    </row>
    <row r="6" spans="1:12" ht="39.450000000000003" customHeight="1">
      <c r="A6" s="769"/>
      <c r="B6" s="770"/>
      <c r="C6" s="372"/>
      <c r="D6" s="464" t="s">
        <v>685</v>
      </c>
      <c r="E6" s="464" t="s">
        <v>684</v>
      </c>
      <c r="F6" s="464" t="s">
        <v>683</v>
      </c>
      <c r="G6" s="464" t="s">
        <v>682</v>
      </c>
      <c r="H6" s="485"/>
      <c r="I6" s="464" t="s">
        <v>685</v>
      </c>
      <c r="J6" s="464" t="s">
        <v>684</v>
      </c>
      <c r="K6" s="464" t="s">
        <v>683</v>
      </c>
      <c r="L6" s="464" t="s">
        <v>682</v>
      </c>
    </row>
    <row r="7" spans="1:12">
      <c r="A7" s="455">
        <v>1</v>
      </c>
      <c r="B7" s="470" t="s">
        <v>523</v>
      </c>
      <c r="C7" s="676">
        <f>SUM(D7:G7)</f>
        <v>29075051.529847126</v>
      </c>
      <c r="D7" s="650">
        <v>27999139.044989571</v>
      </c>
      <c r="E7" s="650">
        <v>926632.81440058944</v>
      </c>
      <c r="F7" s="650">
        <v>149279.67045696435</v>
      </c>
      <c r="G7" s="677"/>
      <c r="H7" s="650">
        <f>SUM(I7:L7)</f>
        <v>575472.68174432451</v>
      </c>
      <c r="I7" s="678">
        <v>301707.78103509615</v>
      </c>
      <c r="J7" s="678">
        <v>145995.98180081544</v>
      </c>
      <c r="K7" s="678">
        <v>127768.91890841295</v>
      </c>
      <c r="L7" s="678"/>
    </row>
    <row r="8" spans="1:12">
      <c r="A8" s="455">
        <v>2</v>
      </c>
      <c r="B8" s="470" t="s">
        <v>436</v>
      </c>
      <c r="C8" s="676">
        <f t="shared" ref="C8:C33" si="0">SUM(D8:G8)</f>
        <v>9717079.0991055276</v>
      </c>
      <c r="D8" s="650">
        <v>9563248.0713182501</v>
      </c>
      <c r="E8" s="650">
        <v>117186.92500429548</v>
      </c>
      <c r="F8" s="678">
        <v>36644.102782982263</v>
      </c>
      <c r="G8" s="678"/>
      <c r="H8" s="650">
        <f t="shared" ref="H8:H33" si="1">SUM(I8:L8)</f>
        <v>121886.14989227391</v>
      </c>
      <c r="I8" s="678">
        <v>78028.980647106044</v>
      </c>
      <c r="J8" s="678">
        <v>12552.539237542947</v>
      </c>
      <c r="K8" s="678">
        <v>31304.630007624924</v>
      </c>
      <c r="L8" s="678"/>
    </row>
    <row r="9" spans="1:12">
      <c r="A9" s="455">
        <v>3</v>
      </c>
      <c r="B9" s="470" t="s">
        <v>437</v>
      </c>
      <c r="C9" s="676">
        <f t="shared" si="0"/>
        <v>6507146.5637855912</v>
      </c>
      <c r="D9" s="650">
        <v>6139353.2195018288</v>
      </c>
      <c r="E9" s="650">
        <v>326404.79178099893</v>
      </c>
      <c r="F9" s="679">
        <v>41388.552502763625</v>
      </c>
      <c r="G9" s="679"/>
      <c r="H9" s="650">
        <f t="shared" si="1"/>
        <v>147403.54988157644</v>
      </c>
      <c r="I9" s="679">
        <v>62064.036696833798</v>
      </c>
      <c r="J9" s="679">
        <v>49705.02990929909</v>
      </c>
      <c r="K9" s="679">
        <v>35634.483275443548</v>
      </c>
      <c r="L9" s="679"/>
    </row>
    <row r="10" spans="1:12">
      <c r="A10" s="455">
        <v>4</v>
      </c>
      <c r="B10" s="470" t="s">
        <v>524</v>
      </c>
      <c r="C10" s="676">
        <f t="shared" si="0"/>
        <v>13285421.919752968</v>
      </c>
      <c r="D10" s="650">
        <v>13255371.987351025</v>
      </c>
      <c r="E10" s="650">
        <v>30049.932401943268</v>
      </c>
      <c r="F10" s="679"/>
      <c r="G10" s="679"/>
      <c r="H10" s="650">
        <f t="shared" si="1"/>
        <v>51450.870804222446</v>
      </c>
      <c r="I10" s="679">
        <v>39647.834333137173</v>
      </c>
      <c r="J10" s="679">
        <v>11803.03647108527</v>
      </c>
      <c r="K10" s="679"/>
      <c r="L10" s="679"/>
    </row>
    <row r="11" spans="1:12">
      <c r="A11" s="455">
        <v>5</v>
      </c>
      <c r="B11" s="470" t="s">
        <v>438</v>
      </c>
      <c r="C11" s="676">
        <f t="shared" si="0"/>
        <v>25478466.725286432</v>
      </c>
      <c r="D11" s="650">
        <v>25191360.455012489</v>
      </c>
      <c r="E11" s="650">
        <v>256163.65840422362</v>
      </c>
      <c r="F11" s="679">
        <v>30942.611869719403</v>
      </c>
      <c r="G11" s="679"/>
      <c r="H11" s="650">
        <f t="shared" si="1"/>
        <v>171047.22683278835</v>
      </c>
      <c r="I11" s="679">
        <v>112557.36370411771</v>
      </c>
      <c r="J11" s="679">
        <v>32231.264912834828</v>
      </c>
      <c r="K11" s="679">
        <v>26258.598215835798</v>
      </c>
      <c r="L11" s="679"/>
    </row>
    <row r="12" spans="1:12">
      <c r="A12" s="455">
        <v>6</v>
      </c>
      <c r="B12" s="470" t="s">
        <v>439</v>
      </c>
      <c r="C12" s="676">
        <f t="shared" si="0"/>
        <v>7765990.0070438841</v>
      </c>
      <c r="D12" s="650">
        <v>7245899.2707223594</v>
      </c>
      <c r="E12" s="650">
        <v>476366.5105300647</v>
      </c>
      <c r="F12" s="679">
        <v>43724.22579145994</v>
      </c>
      <c r="G12" s="679"/>
      <c r="H12" s="650">
        <f t="shared" si="1"/>
        <v>148023.066153922</v>
      </c>
      <c r="I12" s="679">
        <v>52033.272586458334</v>
      </c>
      <c r="J12" s="679">
        <v>58535.572675037307</v>
      </c>
      <c r="K12" s="679">
        <v>37454.22089242634</v>
      </c>
      <c r="L12" s="679"/>
    </row>
    <row r="13" spans="1:12">
      <c r="A13" s="455">
        <v>7</v>
      </c>
      <c r="B13" s="470" t="s">
        <v>440</v>
      </c>
      <c r="C13" s="676">
        <f t="shared" si="0"/>
        <v>3469775.6868059114</v>
      </c>
      <c r="D13" s="650">
        <v>3124350.0582632576</v>
      </c>
      <c r="E13" s="650">
        <v>285734.19977019564</v>
      </c>
      <c r="F13" s="679">
        <v>59691.428772457955</v>
      </c>
      <c r="G13" s="679"/>
      <c r="H13" s="650">
        <f t="shared" si="1"/>
        <v>120040.67163870699</v>
      </c>
      <c r="I13" s="679">
        <v>33977.150561820941</v>
      </c>
      <c r="J13" s="679">
        <v>34663.528371265144</v>
      </c>
      <c r="K13" s="679">
        <v>51399.992705620905</v>
      </c>
      <c r="L13" s="679"/>
    </row>
    <row r="14" spans="1:12">
      <c r="A14" s="455">
        <v>8</v>
      </c>
      <c r="B14" s="470" t="s">
        <v>441</v>
      </c>
      <c r="C14" s="676">
        <f t="shared" si="0"/>
        <v>134154657.58224501</v>
      </c>
      <c r="D14" s="650">
        <v>126606930.78299215</v>
      </c>
      <c r="E14" s="650">
        <v>6122417.8823849941</v>
      </c>
      <c r="F14" s="679">
        <v>1388849.3268678498</v>
      </c>
      <c r="G14" s="679">
        <v>36459.589999999997</v>
      </c>
      <c r="H14" s="650">
        <f t="shared" si="1"/>
        <v>3222633.3802028322</v>
      </c>
      <c r="I14" s="679">
        <v>1162541.6994705782</v>
      </c>
      <c r="J14" s="679">
        <v>897321.15607066592</v>
      </c>
      <c r="K14" s="679">
        <v>1162355.6199219767</v>
      </c>
      <c r="L14" s="679">
        <v>414.90473961110206</v>
      </c>
    </row>
    <row r="15" spans="1:12">
      <c r="A15" s="455">
        <v>9</v>
      </c>
      <c r="B15" s="470" t="s">
        <v>442</v>
      </c>
      <c r="C15" s="676">
        <f t="shared" si="0"/>
        <v>26769069.750985704</v>
      </c>
      <c r="D15" s="650">
        <v>25486350.563068796</v>
      </c>
      <c r="E15" s="650">
        <v>1140836.2714445498</v>
      </c>
      <c r="F15" s="679">
        <v>139201.19647236125</v>
      </c>
      <c r="G15" s="679">
        <v>2681.72</v>
      </c>
      <c r="H15" s="650">
        <f t="shared" si="1"/>
        <v>530328.69153119158</v>
      </c>
      <c r="I15" s="679">
        <v>232827.4628693352</v>
      </c>
      <c r="J15" s="679">
        <v>177622.82456766255</v>
      </c>
      <c r="K15" s="679">
        <v>119844.00846117617</v>
      </c>
      <c r="L15" s="679">
        <v>34.395633017701897</v>
      </c>
    </row>
    <row r="16" spans="1:12">
      <c r="A16" s="455">
        <v>10</v>
      </c>
      <c r="B16" s="470" t="s">
        <v>443</v>
      </c>
      <c r="C16" s="676">
        <f t="shared" si="0"/>
        <v>12550446.369085176</v>
      </c>
      <c r="D16" s="650">
        <v>11925315.504119037</v>
      </c>
      <c r="E16" s="650">
        <v>595732.63353987329</v>
      </c>
      <c r="F16" s="679">
        <v>29398.231426265676</v>
      </c>
      <c r="G16" s="679"/>
      <c r="H16" s="650">
        <f t="shared" si="1"/>
        <v>203753.30625432482</v>
      </c>
      <c r="I16" s="679">
        <v>94059.098488110947</v>
      </c>
      <c r="J16" s="679">
        <v>84401.742198067397</v>
      </c>
      <c r="K16" s="679">
        <v>25292.465568146476</v>
      </c>
      <c r="L16" s="679"/>
    </row>
    <row r="17" spans="1:12">
      <c r="A17" s="455">
        <v>11</v>
      </c>
      <c r="B17" s="470" t="s">
        <v>444</v>
      </c>
      <c r="C17" s="676">
        <f t="shared" si="0"/>
        <v>6998332.8522708844</v>
      </c>
      <c r="D17" s="650">
        <v>6500472.6967169605</v>
      </c>
      <c r="E17" s="650">
        <v>351272.49182600924</v>
      </c>
      <c r="F17" s="679">
        <v>127363.9937279154</v>
      </c>
      <c r="G17" s="679">
        <v>19223.670000000002</v>
      </c>
      <c r="H17" s="650">
        <f t="shared" si="1"/>
        <v>231616.80384620783</v>
      </c>
      <c r="I17" s="679">
        <v>68482.096062483688</v>
      </c>
      <c r="J17" s="679">
        <v>53079.696924513017</v>
      </c>
      <c r="K17" s="679">
        <v>109834.6128336769</v>
      </c>
      <c r="L17" s="679">
        <v>220.39802553420799</v>
      </c>
    </row>
    <row r="18" spans="1:12">
      <c r="A18" s="455">
        <v>12</v>
      </c>
      <c r="B18" s="470" t="s">
        <v>445</v>
      </c>
      <c r="C18" s="676">
        <f t="shared" si="0"/>
        <v>107838085.59579712</v>
      </c>
      <c r="D18" s="650">
        <v>101883190.02633424</v>
      </c>
      <c r="E18" s="650">
        <v>5331810.2645909637</v>
      </c>
      <c r="F18" s="679">
        <v>599355.93487191817</v>
      </c>
      <c r="G18" s="679">
        <v>23729.37</v>
      </c>
      <c r="H18" s="650">
        <f t="shared" si="1"/>
        <v>2026413.9833429761</v>
      </c>
      <c r="I18" s="679">
        <v>793846.68695930869</v>
      </c>
      <c r="J18" s="679">
        <v>726021.7959454495</v>
      </c>
      <c r="K18" s="679">
        <v>503700.12223918288</v>
      </c>
      <c r="L18" s="679">
        <v>2845.3781990347743</v>
      </c>
    </row>
    <row r="19" spans="1:12">
      <c r="A19" s="455">
        <v>13</v>
      </c>
      <c r="B19" s="470" t="s">
        <v>446</v>
      </c>
      <c r="C19" s="676">
        <f t="shared" si="0"/>
        <v>17392037.077086892</v>
      </c>
      <c r="D19" s="650">
        <v>16339116.818334695</v>
      </c>
      <c r="E19" s="650">
        <v>938119.09995066468</v>
      </c>
      <c r="F19" s="679">
        <v>114801.15880153302</v>
      </c>
      <c r="G19" s="679"/>
      <c r="H19" s="650">
        <f t="shared" si="1"/>
        <v>343065.7529201929</v>
      </c>
      <c r="I19" s="679">
        <v>121857.76346035898</v>
      </c>
      <c r="J19" s="679">
        <v>122440.66003819367</v>
      </c>
      <c r="K19" s="679">
        <v>98767.329421640243</v>
      </c>
      <c r="L19" s="679"/>
    </row>
    <row r="20" spans="1:12">
      <c r="A20" s="455">
        <v>14</v>
      </c>
      <c r="B20" s="470" t="s">
        <v>447</v>
      </c>
      <c r="C20" s="676">
        <f t="shared" si="0"/>
        <v>52429125.520122863</v>
      </c>
      <c r="D20" s="650">
        <v>48337870.64102678</v>
      </c>
      <c r="E20" s="650">
        <v>4011726.7186802719</v>
      </c>
      <c r="F20" s="679">
        <v>79528.160415813676</v>
      </c>
      <c r="G20" s="679"/>
      <c r="H20" s="650">
        <f t="shared" si="1"/>
        <v>788440.57061953226</v>
      </c>
      <c r="I20" s="679">
        <v>253203.53210664092</v>
      </c>
      <c r="J20" s="679">
        <v>468309.69186738686</v>
      </c>
      <c r="K20" s="679">
        <v>66927.34664550444</v>
      </c>
      <c r="L20" s="679"/>
    </row>
    <row r="21" spans="1:12">
      <c r="A21" s="455">
        <v>15</v>
      </c>
      <c r="B21" s="470" t="s">
        <v>448</v>
      </c>
      <c r="C21" s="676">
        <f t="shared" si="0"/>
        <v>31876240.08816883</v>
      </c>
      <c r="D21" s="650">
        <v>27056443.409521423</v>
      </c>
      <c r="E21" s="650">
        <v>4587781.5217263056</v>
      </c>
      <c r="F21" s="679">
        <v>210255.10692110035</v>
      </c>
      <c r="G21" s="679">
        <v>21760.049999999996</v>
      </c>
      <c r="H21" s="650">
        <f t="shared" si="1"/>
        <v>913486.64150023193</v>
      </c>
      <c r="I21" s="679">
        <v>254514.60847239778</v>
      </c>
      <c r="J21" s="679">
        <v>476000.079167085</v>
      </c>
      <c r="K21" s="679">
        <v>180205.98970170799</v>
      </c>
      <c r="L21" s="679">
        <v>2765.9641590411456</v>
      </c>
    </row>
    <row r="22" spans="1:12">
      <c r="A22" s="455">
        <v>16</v>
      </c>
      <c r="B22" s="470" t="s">
        <v>449</v>
      </c>
      <c r="C22" s="676">
        <f t="shared" si="0"/>
        <v>7900123.192674513</v>
      </c>
      <c r="D22" s="650">
        <v>7208531.4580406835</v>
      </c>
      <c r="E22" s="650">
        <v>656811.46279545338</v>
      </c>
      <c r="F22" s="679">
        <v>34780.271838375877</v>
      </c>
      <c r="G22" s="679"/>
      <c r="H22" s="650">
        <f t="shared" si="1"/>
        <v>189553.9575751455</v>
      </c>
      <c r="I22" s="679">
        <v>75445.721463245573</v>
      </c>
      <c r="J22" s="679">
        <v>84338.247324964032</v>
      </c>
      <c r="K22" s="679">
        <v>29769.988786935901</v>
      </c>
      <c r="L22" s="679"/>
    </row>
    <row r="23" spans="1:12">
      <c r="A23" s="455">
        <v>17</v>
      </c>
      <c r="B23" s="470" t="s">
        <v>527</v>
      </c>
      <c r="C23" s="676">
        <f t="shared" si="0"/>
        <v>746322.18249133206</v>
      </c>
      <c r="D23" s="650">
        <v>730572.61028900184</v>
      </c>
      <c r="E23" s="650">
        <v>10028.385537177552</v>
      </c>
      <c r="F23" s="679">
        <v>5721.1866651526798</v>
      </c>
      <c r="G23" s="679"/>
      <c r="H23" s="650">
        <f t="shared" si="1"/>
        <v>15473.166364998466</v>
      </c>
      <c r="I23" s="679">
        <v>9432.6235904779332</v>
      </c>
      <c r="J23" s="679">
        <v>1092.5523293785152</v>
      </c>
      <c r="K23" s="679">
        <v>4947.990445142018</v>
      </c>
      <c r="L23" s="679"/>
    </row>
    <row r="24" spans="1:12">
      <c r="A24" s="455">
        <v>18</v>
      </c>
      <c r="B24" s="470" t="s">
        <v>450</v>
      </c>
      <c r="C24" s="676">
        <f t="shared" si="0"/>
        <v>2983743.7650093301</v>
      </c>
      <c r="D24" s="650">
        <v>2868620.2302311705</v>
      </c>
      <c r="E24" s="650">
        <v>88630.148689501177</v>
      </c>
      <c r="F24" s="679">
        <v>26493.386088658801</v>
      </c>
      <c r="G24" s="679"/>
      <c r="H24" s="650">
        <f t="shared" si="1"/>
        <v>69319.104071794805</v>
      </c>
      <c r="I24" s="679">
        <v>35699.896071746924</v>
      </c>
      <c r="J24" s="679">
        <v>10811.532898174457</v>
      </c>
      <c r="K24" s="679">
        <v>22807.675101873414</v>
      </c>
      <c r="L24" s="679"/>
    </row>
    <row r="25" spans="1:12">
      <c r="A25" s="455">
        <v>19</v>
      </c>
      <c r="B25" s="470" t="s">
        <v>451</v>
      </c>
      <c r="C25" s="676">
        <f t="shared" si="0"/>
        <v>4776277.5654594284</v>
      </c>
      <c r="D25" s="650">
        <v>4550741.2984927874</v>
      </c>
      <c r="E25" s="650">
        <v>149393.90657101446</v>
      </c>
      <c r="F25" s="679">
        <v>65550.387095626167</v>
      </c>
      <c r="G25" s="679">
        <v>10591.9733</v>
      </c>
      <c r="H25" s="650">
        <f t="shared" si="1"/>
        <v>118931.53944205638</v>
      </c>
      <c r="I25" s="679">
        <v>37449.855910576684</v>
      </c>
      <c r="J25" s="679">
        <v>24941.569602945772</v>
      </c>
      <c r="K25" s="679">
        <v>56509.187117842099</v>
      </c>
      <c r="L25" s="679">
        <v>30.9268106918379</v>
      </c>
    </row>
    <row r="26" spans="1:12">
      <c r="A26" s="455">
        <v>20</v>
      </c>
      <c r="B26" s="470" t="s">
        <v>526</v>
      </c>
      <c r="C26" s="676">
        <f t="shared" si="0"/>
        <v>13926302.365646826</v>
      </c>
      <c r="D26" s="650">
        <v>13740112.57619602</v>
      </c>
      <c r="E26" s="650">
        <v>165083.51320013363</v>
      </c>
      <c r="F26" s="679">
        <v>14525.106250671059</v>
      </c>
      <c r="G26" s="679">
        <v>6581.17</v>
      </c>
      <c r="H26" s="650">
        <f t="shared" si="1"/>
        <v>159738.44636965948</v>
      </c>
      <c r="I26" s="679">
        <v>120974.66643549586</v>
      </c>
      <c r="J26" s="679">
        <v>26224.039342199398</v>
      </c>
      <c r="K26" s="679">
        <v>12464.287940430706</v>
      </c>
      <c r="L26" s="679">
        <v>75.452651533498297</v>
      </c>
    </row>
    <row r="27" spans="1:12">
      <c r="A27" s="455">
        <v>21</v>
      </c>
      <c r="B27" s="470" t="s">
        <v>452</v>
      </c>
      <c r="C27" s="676">
        <f t="shared" si="0"/>
        <v>2084705.4235823695</v>
      </c>
      <c r="D27" s="650">
        <v>2046695.7218628672</v>
      </c>
      <c r="E27" s="650">
        <v>37687.53171950228</v>
      </c>
      <c r="F27" s="679">
        <v>322.16999999999996</v>
      </c>
      <c r="G27" s="679"/>
      <c r="H27" s="650">
        <f t="shared" si="1"/>
        <v>26394.06361769421</v>
      </c>
      <c r="I27" s="679">
        <v>18110.574496730638</v>
      </c>
      <c r="J27" s="679">
        <v>8008.2630440887897</v>
      </c>
      <c r="K27" s="679">
        <v>275.2260768747829</v>
      </c>
      <c r="L27" s="679"/>
    </row>
    <row r="28" spans="1:12">
      <c r="A28" s="455">
        <v>22</v>
      </c>
      <c r="B28" s="470" t="s">
        <v>453</v>
      </c>
      <c r="C28" s="676">
        <f t="shared" si="0"/>
        <v>703252.23853546905</v>
      </c>
      <c r="D28" s="650">
        <v>635312.09343998577</v>
      </c>
      <c r="E28" s="650">
        <v>46387.336743482621</v>
      </c>
      <c r="F28" s="679">
        <v>21552.808352000655</v>
      </c>
      <c r="G28" s="679"/>
      <c r="H28" s="650">
        <f t="shared" si="1"/>
        <v>30928.772042411103</v>
      </c>
      <c r="I28" s="679">
        <v>7057.6147998053912</v>
      </c>
      <c r="J28" s="679">
        <v>5425.892064087132</v>
      </c>
      <c r="K28" s="679">
        <v>18445.265178518581</v>
      </c>
      <c r="L28" s="679"/>
    </row>
    <row r="29" spans="1:12">
      <c r="A29" s="455">
        <v>23</v>
      </c>
      <c r="B29" s="470" t="s">
        <v>454</v>
      </c>
      <c r="C29" s="676">
        <f t="shared" si="0"/>
        <v>398539930.19281733</v>
      </c>
      <c r="D29" s="650">
        <v>374158528.03724784</v>
      </c>
      <c r="E29" s="650">
        <v>20834974.384727731</v>
      </c>
      <c r="F29" s="679">
        <v>3513903.4408417661</v>
      </c>
      <c r="G29" s="679">
        <v>32524.33</v>
      </c>
      <c r="H29" s="650">
        <f t="shared" si="1"/>
        <v>10082450.453520179</v>
      </c>
      <c r="I29" s="679">
        <v>3777413.668017644</v>
      </c>
      <c r="J29" s="679">
        <v>3284539.6594386823</v>
      </c>
      <c r="K29" s="679">
        <v>3018284.8829024457</v>
      </c>
      <c r="L29" s="679">
        <v>2212.2431614056686</v>
      </c>
    </row>
    <row r="30" spans="1:12">
      <c r="A30" s="455">
        <v>24</v>
      </c>
      <c r="B30" s="470" t="s">
        <v>525</v>
      </c>
      <c r="C30" s="676">
        <f t="shared" si="0"/>
        <v>765755268.54834151</v>
      </c>
      <c r="D30" s="650">
        <v>726424338.91095591</v>
      </c>
      <c r="E30" s="650">
        <v>33460228.109779093</v>
      </c>
      <c r="F30" s="679">
        <v>5764674.2276064809</v>
      </c>
      <c r="G30" s="679">
        <v>106027.29999999999</v>
      </c>
      <c r="H30" s="650">
        <f t="shared" si="1"/>
        <v>16891708.902425982</v>
      </c>
      <c r="I30" s="679">
        <v>6817562.545510876</v>
      </c>
      <c r="J30" s="679">
        <v>5117258.5753730861</v>
      </c>
      <c r="K30" s="679">
        <v>4947977.2427743087</v>
      </c>
      <c r="L30" s="679">
        <v>8910.5387677117524</v>
      </c>
    </row>
    <row r="31" spans="1:12">
      <c r="A31" s="455">
        <v>25</v>
      </c>
      <c r="B31" s="470" t="s">
        <v>455</v>
      </c>
      <c r="C31" s="676">
        <f t="shared" si="0"/>
        <v>140102719.73018911</v>
      </c>
      <c r="D31" s="650">
        <v>132997901.61252244</v>
      </c>
      <c r="E31" s="650">
        <v>5390813.450737319</v>
      </c>
      <c r="F31" s="679">
        <v>1691555.8669293618</v>
      </c>
      <c r="G31" s="679">
        <v>22448.800000000003</v>
      </c>
      <c r="H31" s="650">
        <f t="shared" si="1"/>
        <v>3503875.3835210726</v>
      </c>
      <c r="I31" s="679">
        <v>1214465.0292862786</v>
      </c>
      <c r="J31" s="679">
        <v>910211.97217221581</v>
      </c>
      <c r="K31" s="679">
        <v>1378878.5904536585</v>
      </c>
      <c r="L31" s="679">
        <v>319.79160891927245</v>
      </c>
    </row>
    <row r="32" spans="1:12">
      <c r="A32" s="455">
        <v>26</v>
      </c>
      <c r="B32" s="470" t="s">
        <v>522</v>
      </c>
      <c r="C32" s="676">
        <f t="shared" si="0"/>
        <v>57998061.635025427</v>
      </c>
      <c r="D32" s="650">
        <v>54157694.872058146</v>
      </c>
      <c r="E32" s="650">
        <v>3258795.9587738281</v>
      </c>
      <c r="F32" s="679">
        <v>555472.38419345347</v>
      </c>
      <c r="G32" s="679">
        <v>26098.42</v>
      </c>
      <c r="H32" s="650">
        <f t="shared" si="1"/>
        <v>1536634.4824186021</v>
      </c>
      <c r="I32" s="679">
        <v>631568.47564797045</v>
      </c>
      <c r="J32" s="679">
        <v>427188.26825620799</v>
      </c>
      <c r="K32" s="679">
        <v>477597.01966303476</v>
      </c>
      <c r="L32" s="679">
        <v>280.71885138887819</v>
      </c>
    </row>
    <row r="33" spans="1:12">
      <c r="A33" s="455">
        <v>27</v>
      </c>
      <c r="B33" s="519" t="s">
        <v>65</v>
      </c>
      <c r="C33" s="680">
        <f t="shared" si="0"/>
        <v>1880823633.2071626</v>
      </c>
      <c r="D33" s="664">
        <f>SUM(D7:D32)</f>
        <v>1776173461.9706097</v>
      </c>
      <c r="E33" s="664">
        <f t="shared" ref="E33:G33" si="2">SUM(E7:E32)</f>
        <v>89597069.905710161</v>
      </c>
      <c r="F33" s="664">
        <f t="shared" si="2"/>
        <v>14744974.937542653</v>
      </c>
      <c r="G33" s="664">
        <f t="shared" si="2"/>
        <v>308126.39329999994</v>
      </c>
      <c r="H33" s="652">
        <f t="shared" si="1"/>
        <v>42220071.6185349</v>
      </c>
      <c r="I33" s="664">
        <f t="shared" ref="I33:L33" si="3">SUM(I7:I32)</f>
        <v>16406530.038684634</v>
      </c>
      <c r="J33" s="664">
        <f t="shared" si="3"/>
        <v>13250725.172002936</v>
      </c>
      <c r="K33" s="664">
        <f t="shared" si="3"/>
        <v>12544705.695239441</v>
      </c>
      <c r="L33" s="664">
        <f t="shared" si="3"/>
        <v>18110.71260788984</v>
      </c>
    </row>
    <row r="35" spans="1:12">
      <c r="B35" s="518"/>
      <c r="C35" s="518"/>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D1" zoomScale="80" zoomScaleNormal="80" workbookViewId="0">
      <selection activeCell="K23" sqref="K23"/>
    </sheetView>
  </sheetViews>
  <sheetFormatPr defaultColWidth="8.77734375" defaultRowHeight="12"/>
  <cols>
    <col min="1" max="1" width="11.77734375" style="520" bestFit="1" customWidth="1"/>
    <col min="2" max="2" width="49.5546875" style="520" customWidth="1"/>
    <col min="3" max="11" width="28.21875" style="520" customWidth="1"/>
    <col min="12" max="16384" width="8.77734375" style="520"/>
  </cols>
  <sheetData>
    <row r="1" spans="1:11" s="466" customFormat="1" ht="13.8">
      <c r="A1" s="369" t="s">
        <v>31</v>
      </c>
      <c r="B1" s="452" t="str">
        <f>'Info '!C2</f>
        <v>JSC "CREDOBANK"</v>
      </c>
    </row>
    <row r="2" spans="1:11" s="466" customFormat="1">
      <c r="A2" s="369" t="s">
        <v>32</v>
      </c>
      <c r="B2" s="451">
        <f>'1. key ratios '!B2</f>
        <v>45107</v>
      </c>
    </row>
    <row r="3" spans="1:11" s="466" customFormat="1">
      <c r="A3" s="370" t="s">
        <v>505</v>
      </c>
    </row>
    <row r="4" spans="1:11">
      <c r="C4" s="523" t="s">
        <v>699</v>
      </c>
      <c r="D4" s="523" t="s">
        <v>698</v>
      </c>
      <c r="E4" s="523" t="s">
        <v>697</v>
      </c>
      <c r="F4" s="523" t="s">
        <v>696</v>
      </c>
      <c r="G4" s="523" t="s">
        <v>695</v>
      </c>
      <c r="H4" s="523" t="s">
        <v>694</v>
      </c>
      <c r="I4" s="523" t="s">
        <v>693</v>
      </c>
      <c r="J4" s="523" t="s">
        <v>692</v>
      </c>
      <c r="K4" s="523" t="s">
        <v>691</v>
      </c>
    </row>
    <row r="5" spans="1:11" ht="103.95" customHeight="1">
      <c r="A5" s="815" t="s">
        <v>690</v>
      </c>
      <c r="B5" s="816"/>
      <c r="C5" s="522" t="s">
        <v>506</v>
      </c>
      <c r="D5" s="522" t="s">
        <v>507</v>
      </c>
      <c r="E5" s="522" t="s">
        <v>508</v>
      </c>
      <c r="F5" s="522" t="s">
        <v>509</v>
      </c>
      <c r="G5" s="522" t="s">
        <v>510</v>
      </c>
      <c r="H5" s="522" t="s">
        <v>511</v>
      </c>
      <c r="I5" s="522" t="s">
        <v>512</v>
      </c>
      <c r="J5" s="522" t="s">
        <v>513</v>
      </c>
      <c r="K5" s="522" t="s">
        <v>514</v>
      </c>
    </row>
    <row r="6" spans="1:11" ht="13.8">
      <c r="A6" s="455">
        <v>1</v>
      </c>
      <c r="B6" s="455" t="s">
        <v>474</v>
      </c>
      <c r="C6" s="675">
        <v>4566489.1063187569</v>
      </c>
      <c r="D6" s="675">
        <v>95821</v>
      </c>
      <c r="E6" s="675"/>
      <c r="F6" s="675">
        <v>2339</v>
      </c>
      <c r="G6" s="675">
        <v>479256453.70556259</v>
      </c>
      <c r="H6" s="675"/>
      <c r="I6" s="675">
        <v>53371508</v>
      </c>
      <c r="J6" s="675">
        <v>259672265.99556011</v>
      </c>
      <c r="K6" s="675">
        <v>1083858756.3998384</v>
      </c>
    </row>
    <row r="7" spans="1:11" ht="13.8">
      <c r="A7" s="455">
        <v>2</v>
      </c>
      <c r="B7" s="455" t="s">
        <v>515</v>
      </c>
      <c r="C7" s="681"/>
      <c r="D7" s="681"/>
      <c r="E7" s="681"/>
      <c r="F7" s="681"/>
      <c r="G7" s="681"/>
      <c r="H7" s="681"/>
      <c r="I7" s="681"/>
      <c r="J7" s="681"/>
      <c r="K7" s="681"/>
    </row>
    <row r="8" spans="1:11" ht="13.8">
      <c r="A8" s="455">
        <v>3</v>
      </c>
      <c r="B8" s="455" t="s">
        <v>482</v>
      </c>
      <c r="C8" s="675">
        <v>2617700</v>
      </c>
      <c r="D8" s="681"/>
      <c r="E8" s="681"/>
      <c r="F8" s="681"/>
      <c r="G8" s="675">
        <v>78045</v>
      </c>
      <c r="H8" s="681"/>
      <c r="I8" s="681"/>
      <c r="J8" s="681"/>
      <c r="K8" s="675">
        <v>41357126.439999998</v>
      </c>
    </row>
    <row r="9" spans="1:11" ht="13.8">
      <c r="A9" s="455">
        <v>4</v>
      </c>
      <c r="B9" s="475" t="s">
        <v>516</v>
      </c>
      <c r="C9" s="682"/>
      <c r="D9" s="681"/>
      <c r="E9" s="682"/>
      <c r="F9" s="682"/>
      <c r="G9" s="683">
        <v>779250.10015557369</v>
      </c>
      <c r="H9" s="682"/>
      <c r="I9" s="683">
        <v>142550.05222707728</v>
      </c>
      <c r="J9" s="683">
        <v>1744806.951169925</v>
      </c>
      <c r="K9" s="683">
        <v>12078367.858808823</v>
      </c>
    </row>
    <row r="10" spans="1:11" ht="13.8">
      <c r="A10" s="455">
        <v>5</v>
      </c>
      <c r="B10" s="475" t="s">
        <v>517</v>
      </c>
      <c r="C10" s="682"/>
      <c r="D10" s="682"/>
      <c r="E10" s="682"/>
      <c r="F10" s="682"/>
      <c r="G10" s="682"/>
      <c r="H10" s="682"/>
      <c r="I10" s="682"/>
      <c r="J10" s="682"/>
      <c r="K10" s="682"/>
    </row>
    <row r="11" spans="1:11" ht="13.8">
      <c r="A11" s="455">
        <v>6</v>
      </c>
      <c r="B11" s="475" t="s">
        <v>518</v>
      </c>
      <c r="C11" s="682"/>
      <c r="D11" s="682"/>
      <c r="E11" s="682"/>
      <c r="F11" s="682"/>
      <c r="G11" s="682"/>
      <c r="H11" s="682"/>
      <c r="I11" s="682"/>
      <c r="J11" s="682"/>
      <c r="K11" s="682"/>
    </row>
    <row r="13" spans="1:11" ht="13.8">
      <c r="B13" s="521"/>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abSelected="1" topLeftCell="R4" zoomScaleNormal="100" workbookViewId="0">
      <selection activeCell="U20" sqref="U20"/>
    </sheetView>
  </sheetViews>
  <sheetFormatPr defaultColWidth="8.77734375" defaultRowHeight="14.4"/>
  <cols>
    <col min="1" max="1" width="10" style="524" bestFit="1" customWidth="1"/>
    <col min="2" max="2" width="71.77734375" style="524" customWidth="1"/>
    <col min="3" max="3" width="11" style="524" bestFit="1" customWidth="1"/>
    <col min="4" max="5" width="15.21875" style="524" bestFit="1" customWidth="1"/>
    <col min="6" max="6" width="20" style="524" bestFit="1" customWidth="1"/>
    <col min="7" max="7" width="37.6640625" style="524" bestFit="1" customWidth="1"/>
    <col min="8" max="8" width="11" style="524" bestFit="1" customWidth="1"/>
    <col min="9" max="10" width="15.21875" style="524" bestFit="1" customWidth="1"/>
    <col min="11" max="11" width="20" style="524" bestFit="1" customWidth="1"/>
    <col min="12" max="12" width="37.6640625" style="524" bestFit="1" customWidth="1"/>
    <col min="13" max="13" width="10.6640625" style="524" bestFit="1" customWidth="1"/>
    <col min="14" max="15" width="15.21875" style="524" bestFit="1" customWidth="1"/>
    <col min="16" max="16" width="20" style="524" bestFit="1" customWidth="1"/>
    <col min="17" max="17" width="37.6640625" style="524" bestFit="1" customWidth="1"/>
    <col min="18" max="18" width="18" style="524" bestFit="1" customWidth="1"/>
    <col min="19" max="19" width="48" style="524" bestFit="1" customWidth="1"/>
    <col min="20" max="20" width="45.77734375" style="524" bestFit="1" customWidth="1"/>
    <col min="21" max="21" width="48" style="524" bestFit="1" customWidth="1"/>
    <col min="22" max="22" width="44.33203125" style="524" bestFit="1" customWidth="1"/>
    <col min="23" max="16384" width="8.77734375" style="524"/>
  </cols>
  <sheetData>
    <row r="1" spans="1:22">
      <c r="A1" s="369" t="s">
        <v>31</v>
      </c>
      <c r="B1" s="452" t="str">
        <f>'Info '!C2</f>
        <v>JSC "CREDOBANK"</v>
      </c>
    </row>
    <row r="2" spans="1:22">
      <c r="A2" s="369" t="s">
        <v>32</v>
      </c>
      <c r="B2" s="451">
        <f>'1. key ratios '!B2</f>
        <v>45107</v>
      </c>
    </row>
    <row r="3" spans="1:22">
      <c r="A3" s="370" t="s">
        <v>533</v>
      </c>
      <c r="B3" s="466"/>
    </row>
    <row r="4" spans="1:22">
      <c r="A4" s="370"/>
      <c r="B4" s="466"/>
    </row>
    <row r="5" spans="1:22" ht="24" customHeight="1">
      <c r="A5" s="817" t="s">
        <v>534</v>
      </c>
      <c r="B5" s="818"/>
      <c r="C5" s="822" t="s">
        <v>700</v>
      </c>
      <c r="D5" s="822"/>
      <c r="E5" s="822"/>
      <c r="F5" s="822"/>
      <c r="G5" s="822"/>
      <c r="H5" s="822" t="s">
        <v>552</v>
      </c>
      <c r="I5" s="822"/>
      <c r="J5" s="822"/>
      <c r="K5" s="822"/>
      <c r="L5" s="822"/>
      <c r="M5" s="822" t="s">
        <v>664</v>
      </c>
      <c r="N5" s="822"/>
      <c r="O5" s="822"/>
      <c r="P5" s="822"/>
      <c r="Q5" s="822"/>
      <c r="R5" s="821" t="s">
        <v>535</v>
      </c>
      <c r="S5" s="821" t="s">
        <v>549</v>
      </c>
      <c r="T5" s="821" t="s">
        <v>550</v>
      </c>
      <c r="U5" s="821" t="s">
        <v>751</v>
      </c>
      <c r="V5" s="821" t="s">
        <v>752</v>
      </c>
    </row>
    <row r="6" spans="1:22" ht="36" customHeight="1">
      <c r="A6" s="819"/>
      <c r="B6" s="820"/>
      <c r="C6" s="533"/>
      <c r="D6" s="464" t="s">
        <v>685</v>
      </c>
      <c r="E6" s="464" t="s">
        <v>684</v>
      </c>
      <c r="F6" s="464" t="s">
        <v>683</v>
      </c>
      <c r="G6" s="464" t="s">
        <v>682</v>
      </c>
      <c r="H6" s="533"/>
      <c r="I6" s="464" t="s">
        <v>685</v>
      </c>
      <c r="J6" s="464" t="s">
        <v>684</v>
      </c>
      <c r="K6" s="464" t="s">
        <v>683</v>
      </c>
      <c r="L6" s="464" t="s">
        <v>682</v>
      </c>
      <c r="M6" s="533"/>
      <c r="N6" s="464" t="s">
        <v>685</v>
      </c>
      <c r="O6" s="464" t="s">
        <v>684</v>
      </c>
      <c r="P6" s="464" t="s">
        <v>683</v>
      </c>
      <c r="Q6" s="464" t="s">
        <v>682</v>
      </c>
      <c r="R6" s="821"/>
      <c r="S6" s="821"/>
      <c r="T6" s="821"/>
      <c r="U6" s="821"/>
      <c r="V6" s="821"/>
    </row>
    <row r="7" spans="1:22">
      <c r="A7" s="528">
        <v>1</v>
      </c>
      <c r="B7" s="532" t="s">
        <v>543</v>
      </c>
      <c r="C7" s="684">
        <f>SUM(D7:G7)</f>
        <v>13692001.170000069</v>
      </c>
      <c r="D7" s="685">
        <v>13196231.04000007</v>
      </c>
      <c r="E7" s="685">
        <v>372941.11</v>
      </c>
      <c r="F7" s="685">
        <v>86119.200000000012</v>
      </c>
      <c r="G7" s="685">
        <v>36709.82</v>
      </c>
      <c r="H7" s="684">
        <f>SUM(I7:L7)</f>
        <v>13756048.48173135</v>
      </c>
      <c r="I7" s="685">
        <v>13234810.221999835</v>
      </c>
      <c r="J7" s="685">
        <v>378848.20105013141</v>
      </c>
      <c r="K7" s="685">
        <v>105497.54868138337</v>
      </c>
      <c r="L7" s="685">
        <v>36892.51</v>
      </c>
      <c r="M7" s="684">
        <f>SUM(N7:Q7)</f>
        <v>345401.55179741734</v>
      </c>
      <c r="N7" s="685">
        <v>167245.16318733731</v>
      </c>
      <c r="O7" s="685">
        <v>85523.986947390644</v>
      </c>
      <c r="P7" s="685">
        <v>90382.509356281662</v>
      </c>
      <c r="Q7" s="685">
        <v>2249.8923064077271</v>
      </c>
      <c r="R7" s="685">
        <v>10539</v>
      </c>
      <c r="S7" s="686">
        <v>0.23658537688159781</v>
      </c>
      <c r="T7" s="686">
        <v>0.30658537688159787</v>
      </c>
      <c r="U7" s="686">
        <v>0.23</v>
      </c>
      <c r="V7" s="685">
        <v>33.575721999999999</v>
      </c>
    </row>
    <row r="8" spans="1:22">
      <c r="A8" s="528">
        <v>2</v>
      </c>
      <c r="B8" s="531" t="s">
        <v>542</v>
      </c>
      <c r="C8" s="684">
        <f t="shared" ref="C8:C20" si="0">SUM(D8:G8)</f>
        <v>836533221.44729733</v>
      </c>
      <c r="D8" s="685">
        <v>779020346.51419735</v>
      </c>
      <c r="E8" s="685">
        <v>51276993.783099838</v>
      </c>
      <c r="F8" s="685">
        <v>6139005.7100000093</v>
      </c>
      <c r="G8" s="685">
        <v>96875.44</v>
      </c>
      <c r="H8" s="684">
        <f t="shared" ref="H8:H20" si="1">SUM(I8:L8)</f>
        <v>831989710.76125538</v>
      </c>
      <c r="I8" s="685">
        <v>771002716.0211103</v>
      </c>
      <c r="J8" s="685">
        <v>52884254.876215957</v>
      </c>
      <c r="K8" s="685">
        <v>8005792.4839291889</v>
      </c>
      <c r="L8" s="685">
        <v>96947.37999999999</v>
      </c>
      <c r="M8" s="684">
        <f t="shared" ref="M8:M20" si="2">SUM(N8:Q8)</f>
        <v>22827473.413077429</v>
      </c>
      <c r="N8" s="685">
        <v>8229287.4350120435</v>
      </c>
      <c r="O8" s="685">
        <v>7705385.3761959206</v>
      </c>
      <c r="P8" s="685">
        <v>6881803.4197456352</v>
      </c>
      <c r="Q8" s="685">
        <v>10997.182123830236</v>
      </c>
      <c r="R8" s="687">
        <v>179646</v>
      </c>
      <c r="S8" s="686">
        <v>0.26</v>
      </c>
      <c r="T8" s="686">
        <v>0.36</v>
      </c>
      <c r="U8" s="686">
        <v>0.24</v>
      </c>
      <c r="V8" s="685">
        <v>34.673309000000003</v>
      </c>
    </row>
    <row r="9" spans="1:22">
      <c r="A9" s="528">
        <v>3</v>
      </c>
      <c r="B9" s="531" t="s">
        <v>541</v>
      </c>
      <c r="C9" s="684">
        <f t="shared" si="0"/>
        <v>0</v>
      </c>
      <c r="D9" s="685">
        <v>0</v>
      </c>
      <c r="E9" s="685">
        <v>0</v>
      </c>
      <c r="F9" s="685">
        <v>0</v>
      </c>
      <c r="G9" s="685"/>
      <c r="H9" s="684">
        <f t="shared" si="1"/>
        <v>0</v>
      </c>
      <c r="I9" s="685">
        <v>0</v>
      </c>
      <c r="J9" s="685">
        <v>0</v>
      </c>
      <c r="K9" s="685">
        <v>0</v>
      </c>
      <c r="L9" s="685"/>
      <c r="M9" s="684">
        <f t="shared" si="2"/>
        <v>0</v>
      </c>
      <c r="N9" s="685">
        <v>0</v>
      </c>
      <c r="O9" s="685">
        <v>0</v>
      </c>
      <c r="P9" s="685">
        <v>0</v>
      </c>
      <c r="Q9" s="685"/>
      <c r="R9" s="685">
        <v>0</v>
      </c>
      <c r="S9" s="686"/>
      <c r="T9" s="686"/>
      <c r="U9" s="686">
        <v>0</v>
      </c>
      <c r="V9" s="685">
        <v>0</v>
      </c>
    </row>
    <row r="10" spans="1:22">
      <c r="A10" s="528">
        <v>4</v>
      </c>
      <c r="B10" s="531" t="s">
        <v>540</v>
      </c>
      <c r="C10" s="684">
        <f t="shared" si="0"/>
        <v>172237734.55999967</v>
      </c>
      <c r="D10" s="685">
        <v>167587633.92999968</v>
      </c>
      <c r="E10" s="685">
        <v>3058076.8699999936</v>
      </c>
      <c r="F10" s="685">
        <v>1592023.7600000023</v>
      </c>
      <c r="G10" s="685"/>
      <c r="H10" s="684">
        <f t="shared" si="1"/>
        <v>173247104.23507825</v>
      </c>
      <c r="I10" s="685">
        <v>167632252.81205049</v>
      </c>
      <c r="J10" s="685">
        <v>3332117.766416172</v>
      </c>
      <c r="K10" s="685">
        <v>2282733.656611593</v>
      </c>
      <c r="L10" s="685"/>
      <c r="M10" s="684">
        <f t="shared" si="2"/>
        <v>5225123.0570304738</v>
      </c>
      <c r="N10" s="685">
        <v>2424161.4127489468</v>
      </c>
      <c r="O10" s="685">
        <v>850848.88127058186</v>
      </c>
      <c r="P10" s="685">
        <v>1950112.7630109452</v>
      </c>
      <c r="Q10" s="685"/>
      <c r="R10" s="687">
        <v>241359</v>
      </c>
      <c r="S10" s="686">
        <v>6.3572980913323099E-2</v>
      </c>
      <c r="T10" s="686">
        <v>0.2431188218309823</v>
      </c>
      <c r="U10" s="686">
        <v>0.05</v>
      </c>
      <c r="V10" s="685">
        <v>11.204765999999999</v>
      </c>
    </row>
    <row r="11" spans="1:22">
      <c r="A11" s="528">
        <v>5</v>
      </c>
      <c r="B11" s="531" t="s">
        <v>539</v>
      </c>
      <c r="C11" s="684">
        <f t="shared" si="0"/>
        <v>21664.260000000002</v>
      </c>
      <c r="D11" s="685">
        <v>21664.260000000002</v>
      </c>
      <c r="E11" s="685">
        <v>0</v>
      </c>
      <c r="F11" s="685">
        <v>0</v>
      </c>
      <c r="G11" s="685"/>
      <c r="H11" s="684">
        <f t="shared" si="1"/>
        <v>22075.34</v>
      </c>
      <c r="I11" s="685">
        <v>22075.34</v>
      </c>
      <c r="J11" s="685">
        <v>0</v>
      </c>
      <c r="K11" s="685">
        <v>0</v>
      </c>
      <c r="L11" s="685"/>
      <c r="M11" s="684">
        <f t="shared" si="2"/>
        <v>1110.5137528234327</v>
      </c>
      <c r="N11" s="685">
        <v>1110.5137528234327</v>
      </c>
      <c r="O11" s="685">
        <v>0</v>
      </c>
      <c r="P11" s="685">
        <v>0</v>
      </c>
      <c r="Q11" s="685"/>
      <c r="R11" s="687">
        <v>20</v>
      </c>
      <c r="S11" s="686">
        <v>0.3646778337780413</v>
      </c>
      <c r="T11" s="686">
        <v>0.47640949780940145</v>
      </c>
      <c r="U11" s="686">
        <v>0.34</v>
      </c>
      <c r="V11" s="685">
        <v>2.81427</v>
      </c>
    </row>
    <row r="12" spans="1:22">
      <c r="A12" s="528">
        <v>6</v>
      </c>
      <c r="B12" s="531" t="s">
        <v>538</v>
      </c>
      <c r="C12" s="684">
        <f t="shared" si="0"/>
        <v>21521038.520000171</v>
      </c>
      <c r="D12" s="685">
        <v>20794028.950000174</v>
      </c>
      <c r="E12" s="685">
        <v>312214.16999999987</v>
      </c>
      <c r="F12" s="685">
        <v>414795.40000000014</v>
      </c>
      <c r="G12" s="685"/>
      <c r="H12" s="684">
        <f t="shared" si="1"/>
        <v>21521518.14175199</v>
      </c>
      <c r="I12" s="685">
        <v>20793831.98999346</v>
      </c>
      <c r="J12" s="685">
        <v>312379.2318968327</v>
      </c>
      <c r="K12" s="685">
        <v>415306.91986169771</v>
      </c>
      <c r="L12" s="685"/>
      <c r="M12" s="684">
        <f t="shared" si="2"/>
        <v>821708.81325167592</v>
      </c>
      <c r="N12" s="685">
        <v>322439.62168174784</v>
      </c>
      <c r="O12" s="685">
        <v>144467.87874572436</v>
      </c>
      <c r="P12" s="685">
        <v>354801.31282420375</v>
      </c>
      <c r="Q12" s="685"/>
      <c r="R12" s="687">
        <v>37848</v>
      </c>
      <c r="S12" s="686">
        <v>0.30000000000000004</v>
      </c>
      <c r="T12" s="686">
        <v>0.37000000000000005</v>
      </c>
      <c r="U12" s="686">
        <v>0.3</v>
      </c>
      <c r="V12" s="685">
        <v>308.95188100000001</v>
      </c>
    </row>
    <row r="13" spans="1:22">
      <c r="A13" s="528">
        <v>7</v>
      </c>
      <c r="B13" s="531" t="s">
        <v>537</v>
      </c>
      <c r="C13" s="684">
        <f t="shared" si="0"/>
        <v>183076380.90059972</v>
      </c>
      <c r="D13" s="688">
        <v>177272817.25869972</v>
      </c>
      <c r="E13" s="688">
        <v>4502025.5939000025</v>
      </c>
      <c r="F13" s="688">
        <v>1242680.8280000002</v>
      </c>
      <c r="G13" s="688">
        <v>58857.22</v>
      </c>
      <c r="H13" s="684">
        <f t="shared" si="1"/>
        <v>181795010.92175135</v>
      </c>
      <c r="I13" s="688">
        <f>SUM(I14:I16)</f>
        <v>175674590.30851856</v>
      </c>
      <c r="J13" s="688">
        <f t="shared" ref="J13:L13" si="3">SUM(J14:J16)</f>
        <v>4599795.6551381703</v>
      </c>
      <c r="K13" s="688">
        <f t="shared" si="3"/>
        <v>1461426.938094612</v>
      </c>
      <c r="L13" s="688">
        <f t="shared" si="3"/>
        <v>59198.020000000004</v>
      </c>
      <c r="M13" s="684">
        <f t="shared" si="2"/>
        <v>3247738.3107732669</v>
      </c>
      <c r="N13" s="688">
        <f>SUM(N14:N16)</f>
        <v>1192081.5150897049</v>
      </c>
      <c r="O13" s="688">
        <f t="shared" ref="O13:R13" si="4">SUM(O14:O16)</f>
        <v>903867.77195905312</v>
      </c>
      <c r="P13" s="688">
        <f t="shared" si="4"/>
        <v>1150971.0694856946</v>
      </c>
      <c r="Q13" s="688">
        <f t="shared" si="4"/>
        <v>817.95423881422278</v>
      </c>
      <c r="R13" s="689">
        <f t="shared" si="4"/>
        <v>17290</v>
      </c>
      <c r="S13" s="690">
        <v>0.21297655012259559</v>
      </c>
      <c r="T13" s="690">
        <v>0.28595310024519122</v>
      </c>
      <c r="U13" s="690">
        <v>0.19</v>
      </c>
      <c r="V13" s="688">
        <v>69.540965</v>
      </c>
    </row>
    <row r="14" spans="1:22">
      <c r="A14" s="526">
        <v>7.1</v>
      </c>
      <c r="B14" s="525" t="s">
        <v>546</v>
      </c>
      <c r="C14" s="684">
        <f t="shared" si="0"/>
        <v>75820913.921499953</v>
      </c>
      <c r="D14" s="685">
        <v>74646448.60619995</v>
      </c>
      <c r="E14" s="685">
        <v>591535.7439</v>
      </c>
      <c r="F14" s="685">
        <v>578153.73139999993</v>
      </c>
      <c r="G14" s="685">
        <v>4775.84</v>
      </c>
      <c r="H14" s="684">
        <f t="shared" si="1"/>
        <v>75460586.258800074</v>
      </c>
      <c r="I14" s="685">
        <v>74236265.35782671</v>
      </c>
      <c r="J14" s="685">
        <v>598512.52605537837</v>
      </c>
      <c r="K14" s="685">
        <v>621032.53491798276</v>
      </c>
      <c r="L14" s="685">
        <v>4775.84</v>
      </c>
      <c r="M14" s="684">
        <f t="shared" si="2"/>
        <v>871035.43041738379</v>
      </c>
      <c r="N14" s="685">
        <v>230302.04746482542</v>
      </c>
      <c r="O14" s="685">
        <v>202006.93078088155</v>
      </c>
      <c r="P14" s="685">
        <v>438685.50573744194</v>
      </c>
      <c r="Q14" s="685">
        <v>40.946434234845697</v>
      </c>
      <c r="R14" s="687">
        <v>1164</v>
      </c>
      <c r="S14" s="686">
        <v>0.14943172456893458</v>
      </c>
      <c r="T14" s="686">
        <v>0.17943172456893458</v>
      </c>
      <c r="U14" s="686">
        <v>0.13</v>
      </c>
      <c r="V14" s="685">
        <v>118.087057</v>
      </c>
    </row>
    <row r="15" spans="1:22">
      <c r="A15" s="526">
        <v>7.2</v>
      </c>
      <c r="B15" s="525" t="s">
        <v>548</v>
      </c>
      <c r="C15" s="684">
        <f t="shared" si="0"/>
        <v>3377255.6359999999</v>
      </c>
      <c r="D15" s="685">
        <v>3344664.0860000001</v>
      </c>
      <c r="E15" s="685">
        <v>32591.55</v>
      </c>
      <c r="F15" s="685">
        <v>0</v>
      </c>
      <c r="G15" s="685"/>
      <c r="H15" s="684">
        <f t="shared" si="1"/>
        <v>3367416.6797074969</v>
      </c>
      <c r="I15" s="685">
        <v>3333419.5449033366</v>
      </c>
      <c r="J15" s="685">
        <v>33997.134804160232</v>
      </c>
      <c r="K15" s="685">
        <v>0</v>
      </c>
      <c r="L15" s="685"/>
      <c r="M15" s="684">
        <f t="shared" si="2"/>
        <v>12296.339115153291</v>
      </c>
      <c r="N15" s="685">
        <v>9877.69504720636</v>
      </c>
      <c r="O15" s="685">
        <v>2418.6440679469301</v>
      </c>
      <c r="P15" s="685">
        <v>0</v>
      </c>
      <c r="Q15" s="685">
        <v>0</v>
      </c>
      <c r="R15" s="687">
        <v>58</v>
      </c>
      <c r="S15" s="686">
        <v>0.15366140079836399</v>
      </c>
      <c r="T15" s="686">
        <v>0.18366140079836399</v>
      </c>
      <c r="U15" s="686">
        <v>0.13</v>
      </c>
      <c r="V15" s="685">
        <v>95.514881000000003</v>
      </c>
    </row>
    <row r="16" spans="1:22">
      <c r="A16" s="526">
        <v>7.3</v>
      </c>
      <c r="B16" s="525" t="s">
        <v>545</v>
      </c>
      <c r="C16" s="684">
        <f t="shared" si="0"/>
        <v>103878211.34309974</v>
      </c>
      <c r="D16" s="685">
        <v>99281704.566499755</v>
      </c>
      <c r="E16" s="685">
        <v>3877898.3000000021</v>
      </c>
      <c r="F16" s="685">
        <v>664527.09660000028</v>
      </c>
      <c r="G16" s="685">
        <v>54081.380000000005</v>
      </c>
      <c r="H16" s="684">
        <f t="shared" si="1"/>
        <v>102967007.98324379</v>
      </c>
      <c r="I16" s="685">
        <v>98104905.405788511</v>
      </c>
      <c r="J16" s="685">
        <v>3967285.9942786321</v>
      </c>
      <c r="K16" s="685">
        <v>840394.40317662922</v>
      </c>
      <c r="L16" s="685">
        <v>54422.18</v>
      </c>
      <c r="M16" s="684">
        <f t="shared" si="2"/>
        <v>2364406.5412407299</v>
      </c>
      <c r="N16" s="685">
        <v>951901.7725776732</v>
      </c>
      <c r="O16" s="685">
        <v>699442.19711022463</v>
      </c>
      <c r="P16" s="685">
        <v>712285.56374825281</v>
      </c>
      <c r="Q16" s="685">
        <v>777.00780457937708</v>
      </c>
      <c r="R16" s="687">
        <v>16068</v>
      </c>
      <c r="S16" s="686">
        <v>0.24984598997430663</v>
      </c>
      <c r="T16" s="686">
        <v>0.34640430088492918</v>
      </c>
      <c r="U16" s="686">
        <v>0.22</v>
      </c>
      <c r="V16" s="685">
        <v>33.224665999999999</v>
      </c>
    </row>
    <row r="17" spans="1:22">
      <c r="A17" s="528">
        <v>8</v>
      </c>
      <c r="B17" s="531" t="s">
        <v>544</v>
      </c>
      <c r="C17" s="684">
        <f t="shared" si="0"/>
        <v>0</v>
      </c>
      <c r="D17" s="685">
        <v>0</v>
      </c>
      <c r="E17" s="685">
        <v>0</v>
      </c>
      <c r="F17" s="685">
        <v>0</v>
      </c>
      <c r="G17" s="685"/>
      <c r="H17" s="684">
        <f t="shared" si="1"/>
        <v>0</v>
      </c>
      <c r="I17" s="685">
        <v>0</v>
      </c>
      <c r="J17" s="685">
        <v>0</v>
      </c>
      <c r="K17" s="685">
        <v>0</v>
      </c>
      <c r="L17" s="685"/>
      <c r="M17" s="684">
        <f t="shared" si="2"/>
        <v>0</v>
      </c>
      <c r="N17" s="685">
        <v>0</v>
      </c>
      <c r="O17" s="685">
        <v>0</v>
      </c>
      <c r="P17" s="685">
        <v>0</v>
      </c>
      <c r="Q17" s="685"/>
      <c r="R17" s="687">
        <v>0</v>
      </c>
      <c r="S17" s="686"/>
      <c r="T17" s="686"/>
      <c r="U17" s="686">
        <v>0</v>
      </c>
      <c r="V17" s="685">
        <v>0</v>
      </c>
    </row>
    <row r="18" spans="1:22">
      <c r="A18" s="530">
        <v>9</v>
      </c>
      <c r="B18" s="529" t="s">
        <v>536</v>
      </c>
      <c r="C18" s="684">
        <f t="shared" si="0"/>
        <v>2867862.4879999962</v>
      </c>
      <c r="D18" s="691">
        <v>2806363.8299999963</v>
      </c>
      <c r="E18" s="691">
        <v>52011.778000000006</v>
      </c>
      <c r="F18" s="691">
        <v>9486.880000000001</v>
      </c>
      <c r="G18" s="691"/>
      <c r="H18" s="684">
        <f t="shared" si="1"/>
        <v>2896853.5548375603</v>
      </c>
      <c r="I18" s="691">
        <v>2832323.936029701</v>
      </c>
      <c r="J18" s="691">
        <v>52327.44660330558</v>
      </c>
      <c r="K18" s="691">
        <v>12202.172204553566</v>
      </c>
      <c r="L18" s="691"/>
      <c r="M18" s="684">
        <f t="shared" si="2"/>
        <v>63097.54741586739</v>
      </c>
      <c r="N18" s="691">
        <v>37180.058459612846</v>
      </c>
      <c r="O18" s="691">
        <v>15440.329696425111</v>
      </c>
      <c r="P18" s="691">
        <v>10477.159259829428</v>
      </c>
      <c r="Q18" s="691"/>
      <c r="R18" s="692">
        <v>1128</v>
      </c>
      <c r="S18" s="693">
        <v>7.1917312158086485E-2</v>
      </c>
      <c r="T18" s="693">
        <v>0.1029978180165787</v>
      </c>
      <c r="U18" s="693">
        <v>0.08</v>
      </c>
      <c r="V18" s="691">
        <v>40.575088000000001</v>
      </c>
    </row>
    <row r="19" spans="1:22">
      <c r="A19" s="528">
        <v>10</v>
      </c>
      <c r="B19" s="527" t="s">
        <v>547</v>
      </c>
      <c r="C19" s="684">
        <f>SUM(C7:C13)+C17+C18</f>
        <v>1229949903.345897</v>
      </c>
      <c r="D19" s="684">
        <f t="shared" ref="D19:G19" si="5">SUM(D7:D13)+D17+D18</f>
        <v>1160699085.782897</v>
      </c>
      <c r="E19" s="684">
        <f t="shared" si="5"/>
        <v>59574263.304999836</v>
      </c>
      <c r="F19" s="684">
        <f t="shared" si="5"/>
        <v>9484111.7780000139</v>
      </c>
      <c r="G19" s="684">
        <f t="shared" si="5"/>
        <v>192442.48</v>
      </c>
      <c r="H19" s="684">
        <f>SUM(H7:H13)+H17+H18</f>
        <v>1225228321.4364057</v>
      </c>
      <c r="I19" s="684">
        <f t="shared" ref="I19:L19" si="6">SUM(I7:I13)+I17+I18</f>
        <v>1151192600.6297023</v>
      </c>
      <c r="J19" s="684">
        <f t="shared" si="6"/>
        <v>61559723.17732057</v>
      </c>
      <c r="K19" s="684">
        <f t="shared" si="6"/>
        <v>12282959.719383029</v>
      </c>
      <c r="L19" s="684">
        <f t="shared" si="6"/>
        <v>193037.90999999997</v>
      </c>
      <c r="M19" s="684">
        <f>SUM(M7:M13)+M17+M18</f>
        <v>32531653.20709895</v>
      </c>
      <c r="N19" s="684">
        <f t="shared" ref="N19:Q19" si="7">SUM(N7:N13)+N17+N18</f>
        <v>12373505.719932217</v>
      </c>
      <c r="O19" s="684">
        <f t="shared" si="7"/>
        <v>9705534.2248150948</v>
      </c>
      <c r="P19" s="684">
        <f t="shared" si="7"/>
        <v>10438548.233682591</v>
      </c>
      <c r="Q19" s="684">
        <f t="shared" si="7"/>
        <v>14065.028669052188</v>
      </c>
      <c r="R19" s="684">
        <f>SUM(R7:R13)+R17+R18</f>
        <v>487830</v>
      </c>
      <c r="S19" s="690">
        <v>0.21310000000000001</v>
      </c>
      <c r="T19" s="690">
        <v>0.30009144400602972</v>
      </c>
      <c r="U19" s="690">
        <v>0.2</v>
      </c>
      <c r="V19" s="694">
        <v>41.37</v>
      </c>
    </row>
    <row r="20" spans="1:22" ht="24">
      <c r="A20" s="526">
        <v>10.1</v>
      </c>
      <c r="B20" s="525" t="s">
        <v>551</v>
      </c>
      <c r="C20" s="684">
        <f t="shared" si="0"/>
        <v>1630088</v>
      </c>
      <c r="D20" s="685">
        <v>815044</v>
      </c>
      <c r="E20" s="685">
        <v>806459</v>
      </c>
      <c r="F20" s="685">
        <v>8585</v>
      </c>
      <c r="G20" s="685"/>
      <c r="H20" s="684">
        <f t="shared" si="1"/>
        <v>807656</v>
      </c>
      <c r="I20" s="685">
        <v>798885</v>
      </c>
      <c r="J20" s="685">
        <v>8771</v>
      </c>
      <c r="K20" s="685"/>
      <c r="L20" s="685"/>
      <c r="M20" s="684">
        <f t="shared" si="2"/>
        <v>9612</v>
      </c>
      <c r="N20" s="685">
        <v>8677</v>
      </c>
      <c r="O20" s="685">
        <v>935</v>
      </c>
      <c r="P20" s="685"/>
      <c r="Q20" s="685"/>
      <c r="R20" s="685">
        <v>373</v>
      </c>
      <c r="S20" s="686">
        <v>0.2455</v>
      </c>
      <c r="T20" s="686">
        <v>0.3604</v>
      </c>
      <c r="U20" s="686">
        <v>0.23849999999999999</v>
      </c>
      <c r="V20" s="695">
        <v>26.58</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topLeftCell="A46" zoomScale="80" zoomScaleNormal="80" workbookViewId="0">
      <selection activeCell="F67" sqref="F67"/>
    </sheetView>
  </sheetViews>
  <sheetFormatPr defaultRowHeight="14.4"/>
  <cols>
    <col min="1" max="1" width="8.77734375" style="406"/>
    <col min="2" max="2" width="69.21875" style="407" customWidth="1"/>
    <col min="3" max="3" width="13.6640625" customWidth="1"/>
    <col min="4" max="4" width="14.44140625" customWidth="1"/>
    <col min="5" max="5" width="16.33203125" bestFit="1" customWidth="1"/>
    <col min="6" max="6" width="13.88671875" bestFit="1" customWidth="1"/>
    <col min="7" max="7" width="13.21875" customWidth="1"/>
    <col min="8" max="8" width="16.33203125" bestFit="1" customWidth="1"/>
  </cols>
  <sheetData>
    <row r="1" spans="1:8" s="5" customFormat="1" ht="13.8">
      <c r="A1" s="2" t="s">
        <v>31</v>
      </c>
      <c r="B1" s="3" t="str">
        <f>'Info '!C2</f>
        <v>JSC "CREDOBANK"</v>
      </c>
      <c r="C1" s="3"/>
      <c r="D1" s="4"/>
      <c r="E1" s="4"/>
      <c r="F1" s="4"/>
      <c r="G1" s="4"/>
    </row>
    <row r="2" spans="1:8" s="5" customFormat="1" ht="13.8">
      <c r="A2" s="2" t="s">
        <v>32</v>
      </c>
      <c r="B2" s="325">
        <f>'1. key ratios '!B2</f>
        <v>45107</v>
      </c>
      <c r="C2" s="3"/>
      <c r="D2" s="4"/>
      <c r="E2" s="4"/>
      <c r="F2" s="4"/>
      <c r="G2" s="4"/>
    </row>
    <row r="3" spans="1:8" s="5" customFormat="1" ht="13.8">
      <c r="A3" s="2"/>
      <c r="B3" s="3"/>
      <c r="C3" s="3"/>
      <c r="D3" s="4"/>
      <c r="E3" s="4"/>
      <c r="F3" s="4"/>
      <c r="G3" s="4"/>
    </row>
    <row r="4" spans="1:8" ht="21" customHeight="1">
      <c r="A4" s="713" t="s">
        <v>7</v>
      </c>
      <c r="B4" s="714" t="s">
        <v>558</v>
      </c>
      <c r="C4" s="716" t="s">
        <v>559</v>
      </c>
      <c r="D4" s="716"/>
      <c r="E4" s="716"/>
      <c r="F4" s="716" t="s">
        <v>560</v>
      </c>
      <c r="G4" s="716"/>
      <c r="H4" s="717"/>
    </row>
    <row r="5" spans="1:8" ht="21" customHeight="1">
      <c r="A5" s="713"/>
      <c r="B5" s="715"/>
      <c r="C5" s="376" t="s">
        <v>33</v>
      </c>
      <c r="D5" s="376" t="s">
        <v>34</v>
      </c>
      <c r="E5" s="376" t="s">
        <v>35</v>
      </c>
      <c r="F5" s="376" t="s">
        <v>33</v>
      </c>
      <c r="G5" s="376" t="s">
        <v>34</v>
      </c>
      <c r="H5" s="376" t="s">
        <v>35</v>
      </c>
    </row>
    <row r="6" spans="1:8" ht="26.55" customHeight="1">
      <c r="A6" s="713"/>
      <c r="B6" s="377" t="s">
        <v>561</v>
      </c>
      <c r="C6" s="718"/>
      <c r="D6" s="719"/>
      <c r="E6" s="719"/>
      <c r="F6" s="719"/>
      <c r="G6" s="719"/>
      <c r="H6" s="720"/>
    </row>
    <row r="7" spans="1:8" ht="22.95" customHeight="1">
      <c r="A7" s="378">
        <v>1</v>
      </c>
      <c r="B7" s="379" t="s">
        <v>562</v>
      </c>
      <c r="C7" s="580">
        <f>SUM(C8:C10)</f>
        <v>133308900.64</v>
      </c>
      <c r="D7" s="580">
        <f>SUM(D8:D10)</f>
        <v>166328012.00999999</v>
      </c>
      <c r="E7" s="582">
        <f>C7+D7</f>
        <v>299636912.64999998</v>
      </c>
      <c r="F7" s="580">
        <f>SUM(F8:F10)</f>
        <v>202821972.23999998</v>
      </c>
      <c r="G7" s="580">
        <f>SUM(G8:G10)</f>
        <v>76631207.139999986</v>
      </c>
      <c r="H7" s="582">
        <f>F7+G7</f>
        <v>279453179.38</v>
      </c>
    </row>
    <row r="8" spans="1:8">
      <c r="A8" s="378">
        <v>1.1000000000000001</v>
      </c>
      <c r="B8" s="380" t="s">
        <v>563</v>
      </c>
      <c r="C8" s="580">
        <v>45725319.049999997</v>
      </c>
      <c r="D8" s="580">
        <v>31700988.260000005</v>
      </c>
      <c r="E8" s="582">
        <f t="shared" ref="E8:E36" si="0">C8+D8</f>
        <v>77426307.310000002</v>
      </c>
      <c r="F8" s="580">
        <v>45087736.909999996</v>
      </c>
      <c r="G8" s="580">
        <v>26537275.609999999</v>
      </c>
      <c r="H8" s="582">
        <f t="shared" ref="H8:H36" si="1">F8+G8</f>
        <v>71625012.519999996</v>
      </c>
    </row>
    <row r="9" spans="1:8">
      <c r="A9" s="378">
        <v>1.2</v>
      </c>
      <c r="B9" s="380" t="s">
        <v>564</v>
      </c>
      <c r="C9" s="580">
        <v>85375468.120000005</v>
      </c>
      <c r="D9" s="580">
        <v>33909903.859999999</v>
      </c>
      <c r="E9" s="582">
        <f t="shared" si="0"/>
        <v>119285371.98</v>
      </c>
      <c r="F9" s="580">
        <v>156375806.56999999</v>
      </c>
      <c r="G9" s="580">
        <v>21493017.50999999</v>
      </c>
      <c r="H9" s="582">
        <f t="shared" si="1"/>
        <v>177868824.07999998</v>
      </c>
    </row>
    <row r="10" spans="1:8">
      <c r="A10" s="378">
        <v>1.3</v>
      </c>
      <c r="B10" s="380" t="s">
        <v>565</v>
      </c>
      <c r="C10" s="580">
        <v>2208113.4700000002</v>
      </c>
      <c r="D10" s="580">
        <v>100717119.89</v>
      </c>
      <c r="E10" s="582">
        <f t="shared" si="0"/>
        <v>102925233.36</v>
      </c>
      <c r="F10" s="580">
        <v>1358428.76</v>
      </c>
      <c r="G10" s="580">
        <v>28600914.02</v>
      </c>
      <c r="H10" s="582">
        <f t="shared" si="1"/>
        <v>29959342.780000001</v>
      </c>
    </row>
    <row r="11" spans="1:8">
      <c r="A11" s="378">
        <v>2</v>
      </c>
      <c r="B11" s="381" t="s">
        <v>566</v>
      </c>
      <c r="C11" s="580"/>
      <c r="D11" s="580"/>
      <c r="E11" s="582">
        <f t="shared" si="0"/>
        <v>0</v>
      </c>
      <c r="F11" s="580"/>
      <c r="G11" s="580"/>
      <c r="H11" s="582">
        <f t="shared" si="1"/>
        <v>0</v>
      </c>
    </row>
    <row r="12" spans="1:8">
      <c r="A12" s="378">
        <v>2.1</v>
      </c>
      <c r="B12" s="382" t="s">
        <v>567</v>
      </c>
      <c r="C12" s="580"/>
      <c r="D12" s="580"/>
      <c r="E12" s="582">
        <f t="shared" si="0"/>
        <v>0</v>
      </c>
      <c r="F12" s="580"/>
      <c r="G12" s="580"/>
      <c r="H12" s="582">
        <f t="shared" si="1"/>
        <v>0</v>
      </c>
    </row>
    <row r="13" spans="1:8" ht="26.55" customHeight="1">
      <c r="A13" s="378">
        <v>3</v>
      </c>
      <c r="B13" s="383" t="s">
        <v>568</v>
      </c>
      <c r="C13" s="580">
        <v>698316.45</v>
      </c>
      <c r="D13" s="580"/>
      <c r="E13" s="582">
        <f t="shared" si="0"/>
        <v>698316.45</v>
      </c>
      <c r="F13" s="580">
        <v>1810093.6</v>
      </c>
      <c r="G13" s="580"/>
      <c r="H13" s="582">
        <f t="shared" si="1"/>
        <v>1810093.6</v>
      </c>
    </row>
    <row r="14" spans="1:8" ht="26.55" customHeight="1">
      <c r="A14" s="378">
        <v>4</v>
      </c>
      <c r="B14" s="384" t="s">
        <v>569</v>
      </c>
      <c r="C14" s="580"/>
      <c r="D14" s="580"/>
      <c r="E14" s="582">
        <f t="shared" si="0"/>
        <v>0</v>
      </c>
      <c r="F14" s="580"/>
      <c r="G14" s="580"/>
      <c r="H14" s="582">
        <f t="shared" si="1"/>
        <v>0</v>
      </c>
    </row>
    <row r="15" spans="1:8" ht="24.45" customHeight="1">
      <c r="A15" s="378">
        <v>5</v>
      </c>
      <c r="B15" s="385" t="s">
        <v>570</v>
      </c>
      <c r="C15" s="581">
        <f>SUM(C16:C18)</f>
        <v>0</v>
      </c>
      <c r="D15" s="581">
        <f>SUM(D16:D18)</f>
        <v>0</v>
      </c>
      <c r="E15" s="583">
        <f t="shared" si="0"/>
        <v>0</v>
      </c>
      <c r="F15" s="581">
        <f>SUM(F16:F18)</f>
        <v>0</v>
      </c>
      <c r="G15" s="581">
        <f>SUM(G16:G18)</f>
        <v>0</v>
      </c>
      <c r="H15" s="583">
        <f t="shared" si="1"/>
        <v>0</v>
      </c>
    </row>
    <row r="16" spans="1:8">
      <c r="A16" s="378">
        <v>5.0999999999999996</v>
      </c>
      <c r="B16" s="386" t="s">
        <v>571</v>
      </c>
      <c r="C16" s="580"/>
      <c r="D16" s="580"/>
      <c r="E16" s="582">
        <f t="shared" si="0"/>
        <v>0</v>
      </c>
      <c r="F16" s="580"/>
      <c r="G16" s="580"/>
      <c r="H16" s="582">
        <f t="shared" si="1"/>
        <v>0</v>
      </c>
    </row>
    <row r="17" spans="1:8">
      <c r="A17" s="378">
        <v>5.2</v>
      </c>
      <c r="B17" s="386" t="s">
        <v>572</v>
      </c>
      <c r="C17" s="580"/>
      <c r="D17" s="580"/>
      <c r="E17" s="582">
        <f t="shared" si="0"/>
        <v>0</v>
      </c>
      <c r="F17" s="580"/>
      <c r="G17" s="580"/>
      <c r="H17" s="582">
        <f t="shared" si="1"/>
        <v>0</v>
      </c>
    </row>
    <row r="18" spans="1:8">
      <c r="A18" s="378">
        <v>5.3</v>
      </c>
      <c r="B18" s="387" t="s">
        <v>573</v>
      </c>
      <c r="C18" s="580"/>
      <c r="D18" s="580"/>
      <c r="E18" s="582">
        <f t="shared" si="0"/>
        <v>0</v>
      </c>
      <c r="F18" s="580"/>
      <c r="G18" s="580"/>
      <c r="H18" s="582">
        <f t="shared" si="1"/>
        <v>0</v>
      </c>
    </row>
    <row r="19" spans="1:8">
      <c r="A19" s="378">
        <v>6</v>
      </c>
      <c r="B19" s="383" t="s">
        <v>574</v>
      </c>
      <c r="C19" s="580">
        <f>SUM(C20:C21)</f>
        <v>1690882276.0331099</v>
      </c>
      <c r="D19" s="580">
        <f>SUM(D20:D21)</f>
        <v>196585213.965597</v>
      </c>
      <c r="E19" s="582">
        <f t="shared" si="0"/>
        <v>1887467489.9987068</v>
      </c>
      <c r="F19" s="580">
        <f>SUM(F20:F21)</f>
        <v>1469001430.9330854</v>
      </c>
      <c r="G19" s="580">
        <f>SUM(G20:G21)</f>
        <v>160708960.42591333</v>
      </c>
      <c r="H19" s="582">
        <f t="shared" si="1"/>
        <v>1629710391.3589988</v>
      </c>
    </row>
    <row r="20" spans="1:8">
      <c r="A20" s="378">
        <v>6.1</v>
      </c>
      <c r="B20" s="386" t="s">
        <v>572</v>
      </c>
      <c r="C20" s="580">
        <v>48863928.109999999</v>
      </c>
      <c r="D20" s="580"/>
      <c r="E20" s="582">
        <f t="shared" si="0"/>
        <v>48863928.109999999</v>
      </c>
      <c r="F20" s="580">
        <v>48854205.850000001</v>
      </c>
      <c r="G20" s="580"/>
      <c r="H20" s="582">
        <f t="shared" si="1"/>
        <v>48854205.850000001</v>
      </c>
    </row>
    <row r="21" spans="1:8">
      <c r="A21" s="378">
        <v>6.2</v>
      </c>
      <c r="B21" s="387" t="s">
        <v>573</v>
      </c>
      <c r="C21" s="580">
        <v>1642018347.92311</v>
      </c>
      <c r="D21" s="580">
        <v>196585213.965597</v>
      </c>
      <c r="E21" s="582">
        <f t="shared" si="0"/>
        <v>1838603561.8887069</v>
      </c>
      <c r="F21" s="580">
        <v>1420147225.0830855</v>
      </c>
      <c r="G21" s="580">
        <v>160708960.42591333</v>
      </c>
      <c r="H21" s="582">
        <f t="shared" si="1"/>
        <v>1580856185.5089989</v>
      </c>
    </row>
    <row r="22" spans="1:8">
      <c r="A22" s="378">
        <v>7</v>
      </c>
      <c r="B22" s="381" t="s">
        <v>575</v>
      </c>
      <c r="C22" s="580"/>
      <c r="D22" s="580"/>
      <c r="E22" s="582">
        <f t="shared" si="0"/>
        <v>0</v>
      </c>
      <c r="F22" s="580"/>
      <c r="G22" s="580"/>
      <c r="H22" s="582">
        <f t="shared" si="1"/>
        <v>0</v>
      </c>
    </row>
    <row r="23" spans="1:8">
      <c r="A23" s="378">
        <v>8</v>
      </c>
      <c r="B23" s="388" t="s">
        <v>576</v>
      </c>
      <c r="C23" s="580"/>
      <c r="D23" s="580"/>
      <c r="E23" s="582">
        <f t="shared" si="0"/>
        <v>0</v>
      </c>
      <c r="F23" s="580"/>
      <c r="G23" s="580"/>
      <c r="H23" s="582">
        <f t="shared" si="1"/>
        <v>0</v>
      </c>
    </row>
    <row r="24" spans="1:8">
      <c r="A24" s="378">
        <v>9</v>
      </c>
      <c r="B24" s="384" t="s">
        <v>577</v>
      </c>
      <c r="C24" s="580">
        <f>SUM(C25:C26)</f>
        <v>38702281.240000002</v>
      </c>
      <c r="D24" s="580">
        <f>SUM(D25:D26)</f>
        <v>0</v>
      </c>
      <c r="E24" s="582">
        <f t="shared" si="0"/>
        <v>38702281.240000002</v>
      </c>
      <c r="F24" s="580">
        <f>SUM(F25:F26)</f>
        <v>25987128.799999997</v>
      </c>
      <c r="G24" s="580">
        <f>SUM(G25:G26)</f>
        <v>0</v>
      </c>
      <c r="H24" s="582">
        <f t="shared" si="1"/>
        <v>25987128.799999997</v>
      </c>
    </row>
    <row r="25" spans="1:8">
      <c r="A25" s="378">
        <v>9.1</v>
      </c>
      <c r="B25" s="386" t="s">
        <v>578</v>
      </c>
      <c r="C25" s="580">
        <v>38702281.240000002</v>
      </c>
      <c r="D25" s="580"/>
      <c r="E25" s="582">
        <f t="shared" si="0"/>
        <v>38702281.240000002</v>
      </c>
      <c r="F25" s="580">
        <v>25987128.799999997</v>
      </c>
      <c r="G25" s="580"/>
      <c r="H25" s="582">
        <f t="shared" si="1"/>
        <v>25987128.799999997</v>
      </c>
    </row>
    <row r="26" spans="1:8">
      <c r="A26" s="378">
        <v>9.1999999999999993</v>
      </c>
      <c r="B26" s="386" t="s">
        <v>579</v>
      </c>
      <c r="C26" s="580"/>
      <c r="D26" s="580"/>
      <c r="E26" s="582">
        <f t="shared" si="0"/>
        <v>0</v>
      </c>
      <c r="F26" s="580"/>
      <c r="G26" s="580"/>
      <c r="H26" s="582">
        <f t="shared" si="1"/>
        <v>0</v>
      </c>
    </row>
    <row r="27" spans="1:8">
      <c r="A27" s="378">
        <v>10</v>
      </c>
      <c r="B27" s="384" t="s">
        <v>580</v>
      </c>
      <c r="C27" s="580">
        <f>SUM(C28:C29)</f>
        <v>18857962.90000001</v>
      </c>
      <c r="D27" s="580">
        <f>SUM(D28:D29)</f>
        <v>0</v>
      </c>
      <c r="E27" s="582">
        <f t="shared" si="0"/>
        <v>18857962.90000001</v>
      </c>
      <c r="F27" s="580">
        <f>SUM(F28:F29)</f>
        <v>17462083.570000004</v>
      </c>
      <c r="G27" s="580">
        <f>SUM(G28:G29)</f>
        <v>0</v>
      </c>
      <c r="H27" s="582">
        <f t="shared" si="1"/>
        <v>17462083.570000004</v>
      </c>
    </row>
    <row r="28" spans="1:8">
      <c r="A28" s="378">
        <v>10.1</v>
      </c>
      <c r="B28" s="386" t="s">
        <v>581</v>
      </c>
      <c r="C28" s="580"/>
      <c r="D28" s="580"/>
      <c r="E28" s="582">
        <f t="shared" si="0"/>
        <v>0</v>
      </c>
      <c r="F28" s="580"/>
      <c r="G28" s="580"/>
      <c r="H28" s="582">
        <f t="shared" si="1"/>
        <v>0</v>
      </c>
    </row>
    <row r="29" spans="1:8">
      <c r="A29" s="378">
        <v>10.199999999999999</v>
      </c>
      <c r="B29" s="386" t="s">
        <v>582</v>
      </c>
      <c r="C29" s="580">
        <v>18857962.90000001</v>
      </c>
      <c r="D29" s="580"/>
      <c r="E29" s="582">
        <f t="shared" si="0"/>
        <v>18857962.90000001</v>
      </c>
      <c r="F29" s="580">
        <v>17462083.570000004</v>
      </c>
      <c r="G29" s="580"/>
      <c r="H29" s="582">
        <f t="shared" si="1"/>
        <v>17462083.570000004</v>
      </c>
    </row>
    <row r="30" spans="1:8">
      <c r="A30" s="378">
        <v>11</v>
      </c>
      <c r="B30" s="384" t="s">
        <v>583</v>
      </c>
      <c r="C30" s="580">
        <f>SUM(C31:C32)</f>
        <v>1116264.32</v>
      </c>
      <c r="D30" s="580">
        <f>SUM(D31:D32)</f>
        <v>0</v>
      </c>
      <c r="E30" s="582">
        <f t="shared" si="0"/>
        <v>1116264.32</v>
      </c>
      <c r="F30" s="580">
        <f>SUM(F31:F32)</f>
        <v>0</v>
      </c>
      <c r="G30" s="580">
        <f>SUM(G31:G32)</f>
        <v>0</v>
      </c>
      <c r="H30" s="582">
        <f t="shared" si="1"/>
        <v>0</v>
      </c>
    </row>
    <row r="31" spans="1:8">
      <c r="A31" s="378">
        <v>11.1</v>
      </c>
      <c r="B31" s="386" t="s">
        <v>584</v>
      </c>
      <c r="C31" s="580">
        <v>1116264.32</v>
      </c>
      <c r="D31" s="580"/>
      <c r="E31" s="582">
        <f t="shared" si="0"/>
        <v>1116264.32</v>
      </c>
      <c r="F31" s="580"/>
      <c r="G31" s="580"/>
      <c r="H31" s="582">
        <f t="shared" si="1"/>
        <v>0</v>
      </c>
    </row>
    <row r="32" spans="1:8">
      <c r="A32" s="378">
        <v>11.2</v>
      </c>
      <c r="B32" s="386" t="s">
        <v>585</v>
      </c>
      <c r="C32" s="580"/>
      <c r="D32" s="580"/>
      <c r="E32" s="582">
        <f t="shared" si="0"/>
        <v>0</v>
      </c>
      <c r="F32" s="580"/>
      <c r="G32" s="580"/>
      <c r="H32" s="582">
        <f t="shared" si="1"/>
        <v>0</v>
      </c>
    </row>
    <row r="33" spans="1:8">
      <c r="A33" s="378">
        <v>13</v>
      </c>
      <c r="B33" s="384" t="s">
        <v>586</v>
      </c>
      <c r="C33" s="580">
        <v>32068857</v>
      </c>
      <c r="D33" s="580">
        <v>2374884</v>
      </c>
      <c r="E33" s="582">
        <f t="shared" si="0"/>
        <v>34443741</v>
      </c>
      <c r="F33" s="580">
        <v>22801291.379999999</v>
      </c>
      <c r="G33" s="580">
        <v>5127031.3500000089</v>
      </c>
      <c r="H33" s="582">
        <f t="shared" si="1"/>
        <v>27928322.730000008</v>
      </c>
    </row>
    <row r="34" spans="1:8">
      <c r="A34" s="378">
        <v>13.1</v>
      </c>
      <c r="B34" s="389" t="s">
        <v>587</v>
      </c>
      <c r="C34" s="580"/>
      <c r="D34" s="580"/>
      <c r="E34" s="582">
        <f t="shared" si="0"/>
        <v>0</v>
      </c>
      <c r="F34" s="580"/>
      <c r="G34" s="580"/>
      <c r="H34" s="582">
        <f t="shared" si="1"/>
        <v>0</v>
      </c>
    </row>
    <row r="35" spans="1:8">
      <c r="A35" s="378">
        <v>13.2</v>
      </c>
      <c r="B35" s="389" t="s">
        <v>588</v>
      </c>
      <c r="C35" s="580"/>
      <c r="D35" s="580"/>
      <c r="E35" s="582">
        <f t="shared" si="0"/>
        <v>0</v>
      </c>
      <c r="F35" s="580"/>
      <c r="G35" s="580"/>
      <c r="H35" s="582">
        <f t="shared" si="1"/>
        <v>0</v>
      </c>
    </row>
    <row r="36" spans="1:8">
      <c r="A36" s="378">
        <v>14</v>
      </c>
      <c r="B36" s="390" t="s">
        <v>589</v>
      </c>
      <c r="C36" s="580">
        <f>SUM(C7,C11,C13,C14,C15,C19,C22,C23,C24,C27,C30,C33)</f>
        <v>1915634858.5831099</v>
      </c>
      <c r="D36" s="580">
        <f>SUM(D7,D11,D13,D14,D15,D19,D22,D23,D24,D27,D30,D33)</f>
        <v>365288109.97559702</v>
      </c>
      <c r="E36" s="582">
        <f t="shared" si="0"/>
        <v>2280922968.5587068</v>
      </c>
      <c r="F36" s="580">
        <f>SUM(F7,F11,F13,F14,F15,F19,F22,F23,F24,F27,F30,F33)</f>
        <v>1739884000.5230854</v>
      </c>
      <c r="G36" s="580">
        <f>SUM(G7,G11,G13,G14,G15,G19,G22,G23,G24,G27,G30,G33)</f>
        <v>242467198.91591334</v>
      </c>
      <c r="H36" s="582">
        <f t="shared" si="1"/>
        <v>1982351199.4389987</v>
      </c>
    </row>
    <row r="37" spans="1:8" ht="22.5" customHeight="1">
      <c r="A37" s="378"/>
      <c r="B37" s="391" t="s">
        <v>590</v>
      </c>
      <c r="C37" s="718"/>
      <c r="D37" s="719"/>
      <c r="E37" s="719"/>
      <c r="F37" s="719"/>
      <c r="G37" s="719"/>
      <c r="H37" s="720"/>
    </row>
    <row r="38" spans="1:8">
      <c r="A38" s="378">
        <v>15</v>
      </c>
      <c r="B38" s="392" t="s">
        <v>591</v>
      </c>
      <c r="C38" s="393"/>
      <c r="D38" s="393"/>
      <c r="E38" s="585">
        <f>C38+D38</f>
        <v>0</v>
      </c>
      <c r="F38" s="393"/>
      <c r="G38" s="393"/>
      <c r="H38" s="585">
        <f>F38+G38</f>
        <v>0</v>
      </c>
    </row>
    <row r="39" spans="1:8">
      <c r="A39" s="394">
        <v>15.1</v>
      </c>
      <c r="B39" s="395" t="s">
        <v>567</v>
      </c>
      <c r="C39" s="393"/>
      <c r="D39" s="393"/>
      <c r="E39" s="585">
        <f t="shared" ref="E39:E53" si="2">C39+D39</f>
        <v>0</v>
      </c>
      <c r="F39" s="393"/>
      <c r="G39" s="393"/>
      <c r="H39" s="585">
        <f t="shared" ref="H39:H53" si="3">F39+G39</f>
        <v>0</v>
      </c>
    </row>
    <row r="40" spans="1:8" ht="24" customHeight="1">
      <c r="A40" s="394">
        <v>16</v>
      </c>
      <c r="B40" s="381" t="s">
        <v>592</v>
      </c>
      <c r="C40" s="393"/>
      <c r="D40" s="393"/>
      <c r="E40" s="585">
        <f t="shared" si="2"/>
        <v>0</v>
      </c>
      <c r="F40" s="393"/>
      <c r="G40" s="393"/>
      <c r="H40" s="585">
        <f t="shared" si="3"/>
        <v>0</v>
      </c>
    </row>
    <row r="41" spans="1:8">
      <c r="A41" s="394">
        <v>17</v>
      </c>
      <c r="B41" s="381" t="s">
        <v>593</v>
      </c>
      <c r="C41" s="580">
        <f>SUM(C42:C45)</f>
        <v>1346788543.5999999</v>
      </c>
      <c r="D41" s="580">
        <f>SUM(D42:D45)</f>
        <v>512005190.10000008</v>
      </c>
      <c r="E41" s="585">
        <f t="shared" si="2"/>
        <v>1858793733.7</v>
      </c>
      <c r="F41" s="580">
        <f>SUM(F42:F45)</f>
        <v>1289282082.4799998</v>
      </c>
      <c r="G41" s="580">
        <f>SUM(G42:G45)</f>
        <v>331739945.93000001</v>
      </c>
      <c r="H41" s="585">
        <f t="shared" si="3"/>
        <v>1621022028.4099998</v>
      </c>
    </row>
    <row r="42" spans="1:8">
      <c r="A42" s="394">
        <v>17.100000000000001</v>
      </c>
      <c r="B42" s="396" t="s">
        <v>594</v>
      </c>
      <c r="C42" s="580">
        <v>528611212.16999984</v>
      </c>
      <c r="D42" s="580">
        <v>222130010.94000006</v>
      </c>
      <c r="E42" s="585">
        <f t="shared" si="2"/>
        <v>750741223.1099999</v>
      </c>
      <c r="F42" s="580">
        <v>386977816.36999995</v>
      </c>
      <c r="G42" s="580">
        <v>122340916.24000001</v>
      </c>
      <c r="H42" s="585">
        <f t="shared" si="3"/>
        <v>509318732.60999995</v>
      </c>
    </row>
    <row r="43" spans="1:8">
      <c r="A43" s="394">
        <v>17.2</v>
      </c>
      <c r="B43" s="397" t="s">
        <v>595</v>
      </c>
      <c r="C43" s="580">
        <v>807377080.1400001</v>
      </c>
      <c r="D43" s="580">
        <v>283533630.27000004</v>
      </c>
      <c r="E43" s="585">
        <f t="shared" si="2"/>
        <v>1090910710.4100001</v>
      </c>
      <c r="F43" s="580">
        <v>894394154.75999999</v>
      </c>
      <c r="G43" s="580">
        <v>206187816.73000002</v>
      </c>
      <c r="H43" s="585">
        <f t="shared" si="3"/>
        <v>1100581971.49</v>
      </c>
    </row>
    <row r="44" spans="1:8">
      <c r="A44" s="394">
        <v>17.3</v>
      </c>
      <c r="B44" s="396" t="s">
        <v>596</v>
      </c>
      <c r="C44" s="580"/>
      <c r="D44" s="580"/>
      <c r="E44" s="585">
        <f t="shared" si="2"/>
        <v>0</v>
      </c>
      <c r="F44" s="580"/>
      <c r="G44" s="580"/>
      <c r="H44" s="585">
        <f t="shared" si="3"/>
        <v>0</v>
      </c>
    </row>
    <row r="45" spans="1:8">
      <c r="A45" s="394">
        <v>17.399999999999999</v>
      </c>
      <c r="B45" s="396" t="s">
        <v>597</v>
      </c>
      <c r="C45" s="584">
        <v>10800251.289999999</v>
      </c>
      <c r="D45" s="584">
        <v>6341548.8899999997</v>
      </c>
      <c r="E45" s="585">
        <f t="shared" si="2"/>
        <v>17141800.18</v>
      </c>
      <c r="F45" s="580">
        <v>7910111.3499999996</v>
      </c>
      <c r="G45" s="580">
        <v>3211212.96</v>
      </c>
      <c r="H45" s="585">
        <f t="shared" si="3"/>
        <v>11121324.309999999</v>
      </c>
    </row>
    <row r="46" spans="1:8">
      <c r="A46" s="394">
        <v>18</v>
      </c>
      <c r="B46" s="384" t="s">
        <v>598</v>
      </c>
      <c r="C46" s="580"/>
      <c r="D46" s="580"/>
      <c r="E46" s="585">
        <f t="shared" si="2"/>
        <v>0</v>
      </c>
      <c r="F46" s="580"/>
      <c r="G46" s="580"/>
      <c r="H46" s="585">
        <f t="shared" si="3"/>
        <v>0</v>
      </c>
    </row>
    <row r="47" spans="1:8">
      <c r="A47" s="394">
        <v>19</v>
      </c>
      <c r="B47" s="384" t="s">
        <v>599</v>
      </c>
      <c r="C47" s="580">
        <f>SUM(C48:C49)</f>
        <v>2365519.34</v>
      </c>
      <c r="D47" s="580">
        <f>SUM(D48:D49)</f>
        <v>0</v>
      </c>
      <c r="E47" s="585">
        <f t="shared" si="2"/>
        <v>2365519.34</v>
      </c>
      <c r="F47" s="580">
        <f>SUM(F48:F49)</f>
        <v>2788456.2899999977</v>
      </c>
      <c r="G47" s="580">
        <f>SUM(G48:G49)</f>
        <v>0</v>
      </c>
      <c r="H47" s="585">
        <f t="shared" si="3"/>
        <v>2788456.2899999977</v>
      </c>
    </row>
    <row r="48" spans="1:8">
      <c r="A48" s="394">
        <v>19.100000000000001</v>
      </c>
      <c r="B48" s="398" t="s">
        <v>600</v>
      </c>
      <c r="C48" s="580"/>
      <c r="D48" s="580"/>
      <c r="E48" s="585">
        <f t="shared" si="2"/>
        <v>0</v>
      </c>
      <c r="F48" s="580">
        <v>1394073.1299999976</v>
      </c>
      <c r="G48" s="580"/>
      <c r="H48" s="585">
        <f t="shared" si="3"/>
        <v>1394073.1299999976</v>
      </c>
    </row>
    <row r="49" spans="1:8">
      <c r="A49" s="394">
        <v>19.2</v>
      </c>
      <c r="B49" s="399" t="s">
        <v>601</v>
      </c>
      <c r="C49" s="580">
        <v>2365519.34</v>
      </c>
      <c r="D49" s="580"/>
      <c r="E49" s="585">
        <f t="shared" si="2"/>
        <v>2365519.34</v>
      </c>
      <c r="F49" s="580">
        <v>1394383.1600000001</v>
      </c>
      <c r="G49" s="580"/>
      <c r="H49" s="585">
        <f t="shared" si="3"/>
        <v>1394383.1600000001</v>
      </c>
    </row>
    <row r="50" spans="1:8">
      <c r="A50" s="394">
        <v>20</v>
      </c>
      <c r="B50" s="400" t="s">
        <v>602</v>
      </c>
      <c r="C50" s="580">
        <v>62646776.330000006</v>
      </c>
      <c r="D50" s="580">
        <v>41692933.169999994</v>
      </c>
      <c r="E50" s="585">
        <f t="shared" si="2"/>
        <v>104339709.5</v>
      </c>
      <c r="F50" s="580">
        <v>62584312.239999995</v>
      </c>
      <c r="G50" s="580">
        <v>22385714.430000007</v>
      </c>
      <c r="H50" s="585">
        <f t="shared" si="3"/>
        <v>84970026.670000002</v>
      </c>
    </row>
    <row r="51" spans="1:8">
      <c r="A51" s="394">
        <v>21</v>
      </c>
      <c r="B51" s="388" t="s">
        <v>603</v>
      </c>
      <c r="C51" s="580">
        <v>31162603.549999997</v>
      </c>
      <c r="D51" s="580">
        <v>4735447.2899999991</v>
      </c>
      <c r="E51" s="585">
        <f t="shared" si="2"/>
        <v>35898050.839999996</v>
      </c>
      <c r="F51" s="580">
        <v>32912979.489999998</v>
      </c>
      <c r="G51" s="580">
        <v>2307077.3900000006</v>
      </c>
      <c r="H51" s="585">
        <f t="shared" si="3"/>
        <v>35220056.879999995</v>
      </c>
    </row>
    <row r="52" spans="1:8">
      <c r="A52" s="394">
        <v>21.1</v>
      </c>
      <c r="B52" s="397" t="s">
        <v>604</v>
      </c>
      <c r="C52" s="580"/>
      <c r="D52" s="580"/>
      <c r="E52" s="585">
        <f t="shared" si="2"/>
        <v>0</v>
      </c>
      <c r="F52" s="580"/>
      <c r="G52" s="580"/>
      <c r="H52" s="585">
        <f t="shared" si="3"/>
        <v>0</v>
      </c>
    </row>
    <row r="53" spans="1:8">
      <c r="A53" s="394">
        <v>22</v>
      </c>
      <c r="B53" s="401" t="s">
        <v>605</v>
      </c>
      <c r="C53" s="580">
        <f>SUM(C38,C40,C41,C46,C47,C50,C51)</f>
        <v>1442963442.8199997</v>
      </c>
      <c r="D53" s="580">
        <f>SUM(D38,D40,D41,D46,D47,D50,D51)</f>
        <v>558433570.56000006</v>
      </c>
      <c r="E53" s="585">
        <f t="shared" si="2"/>
        <v>2001397013.3799996</v>
      </c>
      <c r="F53" s="580">
        <f>SUM(F38,F40,F41,F46,F47,F50,F51)</f>
        <v>1387567830.4999998</v>
      </c>
      <c r="G53" s="580">
        <f>SUM(G38,G40,G41,G46,G47,G50,G51)</f>
        <v>356432737.75</v>
      </c>
      <c r="H53" s="585">
        <f t="shared" si="3"/>
        <v>1744000568.2499998</v>
      </c>
    </row>
    <row r="54" spans="1:8" ht="24" customHeight="1">
      <c r="A54" s="394"/>
      <c r="B54" s="402" t="s">
        <v>606</v>
      </c>
      <c r="C54" s="710"/>
      <c r="D54" s="711"/>
      <c r="E54" s="711"/>
      <c r="F54" s="711"/>
      <c r="G54" s="711"/>
      <c r="H54" s="712"/>
    </row>
    <row r="55" spans="1:8">
      <c r="A55" s="394">
        <v>23</v>
      </c>
      <c r="B55" s="400" t="s">
        <v>607</v>
      </c>
      <c r="C55" s="580">
        <v>5207180</v>
      </c>
      <c r="D55" s="580"/>
      <c r="E55" s="585">
        <f>C55+D55</f>
        <v>5207180</v>
      </c>
      <c r="F55" s="580">
        <v>5176780</v>
      </c>
      <c r="G55" s="580"/>
      <c r="H55" s="585">
        <f>F55+G55</f>
        <v>5176780</v>
      </c>
    </row>
    <row r="56" spans="1:8">
      <c r="A56" s="394">
        <v>24</v>
      </c>
      <c r="B56" s="400" t="s">
        <v>608</v>
      </c>
      <c r="C56" s="580"/>
      <c r="D56" s="580"/>
      <c r="E56" s="585">
        <f t="shared" ref="E56:E69" si="4">C56+D56</f>
        <v>0</v>
      </c>
      <c r="F56" s="580"/>
      <c r="G56" s="580"/>
      <c r="H56" s="585">
        <f t="shared" ref="H56:H69" si="5">F56+G56</f>
        <v>0</v>
      </c>
    </row>
    <row r="57" spans="1:8">
      <c r="A57" s="394">
        <v>25</v>
      </c>
      <c r="B57" s="384" t="s">
        <v>609</v>
      </c>
      <c r="C57" s="580">
        <v>36929894.049999997</v>
      </c>
      <c r="D57" s="580"/>
      <c r="E57" s="585">
        <f t="shared" si="4"/>
        <v>36929894.049999997</v>
      </c>
      <c r="F57" s="580">
        <v>35305300.5</v>
      </c>
      <c r="G57" s="580"/>
      <c r="H57" s="585">
        <f t="shared" si="5"/>
        <v>35305300.5</v>
      </c>
    </row>
    <row r="58" spans="1:8">
      <c r="A58" s="394">
        <v>26</v>
      </c>
      <c r="B58" s="384" t="s">
        <v>610</v>
      </c>
      <c r="C58" s="580"/>
      <c r="D58" s="580"/>
      <c r="E58" s="585">
        <f t="shared" si="4"/>
        <v>0</v>
      </c>
      <c r="F58" s="580"/>
      <c r="G58" s="580"/>
      <c r="H58" s="585">
        <f t="shared" si="5"/>
        <v>0</v>
      </c>
    </row>
    <row r="59" spans="1:8">
      <c r="A59" s="394">
        <v>27</v>
      </c>
      <c r="B59" s="384" t="s">
        <v>611</v>
      </c>
      <c r="C59" s="580">
        <f>SUM(C60:C61)</f>
        <v>0</v>
      </c>
      <c r="D59" s="580">
        <f>SUM(D60:D61)</f>
        <v>0</v>
      </c>
      <c r="E59" s="585">
        <f t="shared" si="4"/>
        <v>0</v>
      </c>
      <c r="F59" s="580"/>
      <c r="G59" s="580"/>
      <c r="H59" s="585">
        <f t="shared" si="5"/>
        <v>0</v>
      </c>
    </row>
    <row r="60" spans="1:8">
      <c r="A60" s="394">
        <v>27.1</v>
      </c>
      <c r="B60" s="396" t="s">
        <v>612</v>
      </c>
      <c r="C60" s="580"/>
      <c r="D60" s="580"/>
      <c r="E60" s="585">
        <f t="shared" si="4"/>
        <v>0</v>
      </c>
      <c r="F60" s="580"/>
      <c r="G60" s="580"/>
      <c r="H60" s="585">
        <f t="shared" si="5"/>
        <v>0</v>
      </c>
    </row>
    <row r="61" spans="1:8">
      <c r="A61" s="394">
        <v>27.2</v>
      </c>
      <c r="B61" s="396" t="s">
        <v>613</v>
      </c>
      <c r="C61" s="580"/>
      <c r="D61" s="580"/>
      <c r="E61" s="585">
        <f t="shared" si="4"/>
        <v>0</v>
      </c>
      <c r="F61" s="580"/>
      <c r="G61" s="580"/>
      <c r="H61" s="585">
        <f t="shared" si="5"/>
        <v>0</v>
      </c>
    </row>
    <row r="62" spans="1:8">
      <c r="A62" s="394">
        <v>28</v>
      </c>
      <c r="B62" s="403" t="s">
        <v>614</v>
      </c>
      <c r="C62" s="580"/>
      <c r="D62" s="580"/>
      <c r="E62" s="585">
        <f t="shared" si="4"/>
        <v>0</v>
      </c>
      <c r="F62" s="580"/>
      <c r="G62" s="580"/>
      <c r="H62" s="585">
        <f t="shared" si="5"/>
        <v>0</v>
      </c>
    </row>
    <row r="63" spans="1:8">
      <c r="A63" s="394">
        <v>29</v>
      </c>
      <c r="B63" s="384" t="s">
        <v>615</v>
      </c>
      <c r="C63" s="580">
        <f>SUM(C64:C66)</f>
        <v>0</v>
      </c>
      <c r="D63" s="580">
        <f>SUM(D64:D66)</f>
        <v>0</v>
      </c>
      <c r="E63" s="585">
        <f t="shared" si="4"/>
        <v>0</v>
      </c>
      <c r="F63" s="580"/>
      <c r="G63" s="580"/>
      <c r="H63" s="585">
        <f t="shared" si="5"/>
        <v>0</v>
      </c>
    </row>
    <row r="64" spans="1:8">
      <c r="A64" s="394">
        <v>29.1</v>
      </c>
      <c r="B64" s="387" t="s">
        <v>616</v>
      </c>
      <c r="C64" s="580"/>
      <c r="D64" s="580"/>
      <c r="E64" s="585">
        <f t="shared" si="4"/>
        <v>0</v>
      </c>
      <c r="F64" s="580"/>
      <c r="G64" s="580"/>
      <c r="H64" s="585">
        <f t="shared" si="5"/>
        <v>0</v>
      </c>
    </row>
    <row r="65" spans="1:8" ht="25.05" customHeight="1">
      <c r="A65" s="394">
        <v>29.2</v>
      </c>
      <c r="B65" s="398" t="s">
        <v>617</v>
      </c>
      <c r="C65" s="580"/>
      <c r="D65" s="580"/>
      <c r="E65" s="585">
        <f t="shared" si="4"/>
        <v>0</v>
      </c>
      <c r="F65" s="580"/>
      <c r="G65" s="580"/>
      <c r="H65" s="585">
        <f t="shared" si="5"/>
        <v>0</v>
      </c>
    </row>
    <row r="66" spans="1:8" ht="22.5" customHeight="1">
      <c r="A66" s="394">
        <v>29.3</v>
      </c>
      <c r="B66" s="398" t="s">
        <v>618</v>
      </c>
      <c r="C66" s="580"/>
      <c r="D66" s="580"/>
      <c r="E66" s="585">
        <f t="shared" si="4"/>
        <v>0</v>
      </c>
      <c r="F66" s="580"/>
      <c r="G66" s="580"/>
      <c r="H66" s="585">
        <f t="shared" si="5"/>
        <v>0</v>
      </c>
    </row>
    <row r="67" spans="1:8">
      <c r="A67" s="394">
        <v>30</v>
      </c>
      <c r="B67" s="384" t="s">
        <v>619</v>
      </c>
      <c r="C67" s="580">
        <v>237388881.46999991</v>
      </c>
      <c r="D67" s="580"/>
      <c r="E67" s="585">
        <f t="shared" si="4"/>
        <v>237388881.46999991</v>
      </c>
      <c r="F67" s="580">
        <v>197868550.48999989</v>
      </c>
      <c r="G67" s="580"/>
      <c r="H67" s="585">
        <f t="shared" si="5"/>
        <v>197868550.48999989</v>
      </c>
    </row>
    <row r="68" spans="1:8">
      <c r="A68" s="394">
        <v>31</v>
      </c>
      <c r="B68" s="404" t="s">
        <v>620</v>
      </c>
      <c r="C68" s="580">
        <f>SUM(C55,C56,C57,C58,C59,C62,C63,C67)</f>
        <v>279525955.51999992</v>
      </c>
      <c r="D68" s="580">
        <f>SUM(D55,D56,D57,D58,D59,D62,D63,D67)</f>
        <v>0</v>
      </c>
      <c r="E68" s="585">
        <f t="shared" si="4"/>
        <v>279525955.51999992</v>
      </c>
      <c r="F68" s="580">
        <f>SUM(F55,F56,F57,F58,F59,F62,F63,F67)</f>
        <v>238350630.98999989</v>
      </c>
      <c r="G68" s="580">
        <f>SUM(G55,G56,G57,G58,G59,G62,G63,G67)</f>
        <v>0</v>
      </c>
      <c r="H68" s="585">
        <f t="shared" si="5"/>
        <v>238350630.98999989</v>
      </c>
    </row>
    <row r="69" spans="1:8">
      <c r="A69" s="394">
        <v>32</v>
      </c>
      <c r="B69" s="405" t="s">
        <v>621</v>
      </c>
      <c r="C69" s="580">
        <f>SUM(C53,C68)</f>
        <v>1722489398.3399997</v>
      </c>
      <c r="D69" s="580">
        <f>SUM(D53,D68)</f>
        <v>558433570.56000006</v>
      </c>
      <c r="E69" s="585">
        <f t="shared" si="4"/>
        <v>2280922968.8999996</v>
      </c>
      <c r="F69" s="580">
        <f>SUM(F53,F68)</f>
        <v>1625918461.4899998</v>
      </c>
      <c r="G69" s="580">
        <f>SUM(G53,G68)</f>
        <v>356432737.75</v>
      </c>
      <c r="H69" s="585">
        <f t="shared" si="5"/>
        <v>1982351199.2399998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22" zoomScale="80" zoomScaleNormal="80" workbookViewId="0">
      <selection activeCell="F44" sqref="F44"/>
    </sheetView>
  </sheetViews>
  <sheetFormatPr defaultRowHeight="14.4"/>
  <cols>
    <col min="2" max="2" width="66.6640625" customWidth="1"/>
    <col min="3" max="8" width="17.77734375" customWidth="1"/>
  </cols>
  <sheetData>
    <row r="1" spans="1:8" s="5" customFormat="1" ht="13.8">
      <c r="A1" s="2" t="s">
        <v>31</v>
      </c>
      <c r="B1" s="3" t="str">
        <f>'Info '!C2</f>
        <v>JSC "CREDOBANK"</v>
      </c>
      <c r="C1" s="3"/>
      <c r="D1" s="4"/>
      <c r="E1" s="4"/>
      <c r="F1" s="4"/>
      <c r="G1" s="4"/>
    </row>
    <row r="2" spans="1:8" s="5" customFormat="1" ht="13.8">
      <c r="A2" s="2" t="s">
        <v>32</v>
      </c>
      <c r="B2" s="325">
        <f>'1. key ratios '!B2</f>
        <v>45107</v>
      </c>
      <c r="C2" s="3"/>
      <c r="D2" s="4"/>
      <c r="E2" s="4"/>
      <c r="F2" s="4"/>
      <c r="G2" s="4"/>
    </row>
    <row r="4" spans="1:8">
      <c r="A4" s="721" t="s">
        <v>7</v>
      </c>
      <c r="B4" s="723" t="s">
        <v>622</v>
      </c>
      <c r="C4" s="716" t="s">
        <v>559</v>
      </c>
      <c r="D4" s="716"/>
      <c r="E4" s="716"/>
      <c r="F4" s="716" t="s">
        <v>560</v>
      </c>
      <c r="G4" s="716"/>
      <c r="H4" s="717"/>
    </row>
    <row r="5" spans="1:8" ht="15.45" customHeight="1">
      <c r="A5" s="722"/>
      <c r="B5" s="724"/>
      <c r="C5" s="408" t="s">
        <v>33</v>
      </c>
      <c r="D5" s="408" t="s">
        <v>34</v>
      </c>
      <c r="E5" s="408" t="s">
        <v>35</v>
      </c>
      <c r="F5" s="408" t="s">
        <v>33</v>
      </c>
      <c r="G5" s="408" t="s">
        <v>34</v>
      </c>
      <c r="H5" s="408" t="s">
        <v>35</v>
      </c>
    </row>
    <row r="6" spans="1:8">
      <c r="A6" s="409">
        <v>1</v>
      </c>
      <c r="B6" s="410" t="s">
        <v>623</v>
      </c>
      <c r="C6" s="580">
        <f>SUM(C7:C12)</f>
        <v>212570399</v>
      </c>
      <c r="D6" s="580">
        <f>SUM(D7:D12)</f>
        <v>8400109.8799999654</v>
      </c>
      <c r="E6" s="585">
        <f>C6+D6</f>
        <v>220970508.87999997</v>
      </c>
      <c r="F6" s="580">
        <f>SUM(F7:F12)</f>
        <v>197434894.07999998</v>
      </c>
      <c r="G6" s="580">
        <f>SUM(G7:G12)</f>
        <v>5072453.7900000215</v>
      </c>
      <c r="H6" s="585">
        <f>F6+G6</f>
        <v>202507347.87</v>
      </c>
    </row>
    <row r="7" spans="1:8">
      <c r="A7" s="409">
        <v>1.1000000000000001</v>
      </c>
      <c r="B7" s="398" t="s">
        <v>566</v>
      </c>
      <c r="C7" s="580"/>
      <c r="D7" s="580"/>
      <c r="E7" s="585">
        <f t="shared" ref="E7:E45" si="0">C7+D7</f>
        <v>0</v>
      </c>
      <c r="F7" s="580"/>
      <c r="G7" s="580"/>
      <c r="H7" s="585">
        <f t="shared" ref="H7:H45" si="1">F7+G7</f>
        <v>0</v>
      </c>
    </row>
    <row r="8" spans="1:8">
      <c r="A8" s="409">
        <v>1.2</v>
      </c>
      <c r="B8" s="398" t="s">
        <v>568</v>
      </c>
      <c r="C8" s="580"/>
      <c r="D8" s="580"/>
      <c r="E8" s="585">
        <f t="shared" si="0"/>
        <v>0</v>
      </c>
      <c r="F8" s="580"/>
      <c r="G8" s="580"/>
      <c r="H8" s="585">
        <f t="shared" si="1"/>
        <v>0</v>
      </c>
    </row>
    <row r="9" spans="1:8" ht="21.45" customHeight="1">
      <c r="A9" s="409">
        <v>1.3</v>
      </c>
      <c r="B9" s="398" t="s">
        <v>624</v>
      </c>
      <c r="C9" s="580"/>
      <c r="D9" s="580"/>
      <c r="E9" s="585">
        <f t="shared" si="0"/>
        <v>0</v>
      </c>
      <c r="F9" s="580"/>
      <c r="G9" s="580"/>
      <c r="H9" s="585">
        <f t="shared" si="1"/>
        <v>0</v>
      </c>
    </row>
    <row r="10" spans="1:8">
      <c r="A10" s="409">
        <v>1.4</v>
      </c>
      <c r="B10" s="398" t="s">
        <v>570</v>
      </c>
      <c r="C10" s="580"/>
      <c r="D10" s="580"/>
      <c r="E10" s="585">
        <f t="shared" si="0"/>
        <v>0</v>
      </c>
      <c r="F10" s="580"/>
      <c r="G10" s="580"/>
      <c r="H10" s="585">
        <f t="shared" si="1"/>
        <v>0</v>
      </c>
    </row>
    <row r="11" spans="1:8">
      <c r="A11" s="409">
        <v>1.5</v>
      </c>
      <c r="B11" s="398" t="s">
        <v>574</v>
      </c>
      <c r="C11" s="580">
        <v>212570399</v>
      </c>
      <c r="D11" s="580">
        <v>8400109.8799999654</v>
      </c>
      <c r="E11" s="585">
        <f t="shared" si="0"/>
        <v>220970508.87999997</v>
      </c>
      <c r="F11" s="580">
        <v>197434894.07999998</v>
      </c>
      <c r="G11" s="580">
        <v>5072453.7900000215</v>
      </c>
      <c r="H11" s="585">
        <f t="shared" si="1"/>
        <v>202507347.87</v>
      </c>
    </row>
    <row r="12" spans="1:8">
      <c r="A12" s="409">
        <v>1.6</v>
      </c>
      <c r="B12" s="399" t="s">
        <v>456</v>
      </c>
      <c r="C12" s="580"/>
      <c r="D12" s="580"/>
      <c r="E12" s="585">
        <f t="shared" si="0"/>
        <v>0</v>
      </c>
      <c r="F12" s="580"/>
      <c r="G12" s="580"/>
      <c r="H12" s="585">
        <f t="shared" si="1"/>
        <v>0</v>
      </c>
    </row>
    <row r="13" spans="1:8">
      <c r="A13" s="409">
        <v>2</v>
      </c>
      <c r="B13" s="411" t="s">
        <v>625</v>
      </c>
      <c r="C13" s="580">
        <f>SUM(C14:C17)</f>
        <v>-89986308</v>
      </c>
      <c r="D13" s="580">
        <f>SUM(D14:D17)</f>
        <v>-8602623</v>
      </c>
      <c r="E13" s="585">
        <f t="shared" si="0"/>
        <v>-98588931</v>
      </c>
      <c r="F13" s="580">
        <f>SUM(F14:F17)</f>
        <v>-84844574</v>
      </c>
      <c r="G13" s="580">
        <f>SUM(G14:G17)</f>
        <v>-4179544.4599999785</v>
      </c>
      <c r="H13" s="585">
        <f t="shared" si="1"/>
        <v>-89024118.459999979</v>
      </c>
    </row>
    <row r="14" spans="1:8">
      <c r="A14" s="409">
        <v>2.1</v>
      </c>
      <c r="B14" s="398" t="s">
        <v>626</v>
      </c>
      <c r="C14" s="580"/>
      <c r="D14" s="580"/>
      <c r="E14" s="585">
        <f t="shared" si="0"/>
        <v>0</v>
      </c>
      <c r="F14" s="580"/>
      <c r="G14" s="580"/>
      <c r="H14" s="585">
        <f t="shared" si="1"/>
        <v>0</v>
      </c>
    </row>
    <row r="15" spans="1:8" ht="24.45" customHeight="1">
      <c r="A15" s="409">
        <v>2.2000000000000002</v>
      </c>
      <c r="B15" s="398" t="s">
        <v>627</v>
      </c>
      <c r="C15" s="580"/>
      <c r="D15" s="580"/>
      <c r="E15" s="585">
        <f t="shared" si="0"/>
        <v>0</v>
      </c>
      <c r="F15" s="580"/>
      <c r="G15" s="580"/>
      <c r="H15" s="585">
        <f t="shared" si="1"/>
        <v>0</v>
      </c>
    </row>
    <row r="16" spans="1:8" ht="20.55" customHeight="1">
      <c r="A16" s="409">
        <v>2.2999999999999998</v>
      </c>
      <c r="B16" s="398" t="s">
        <v>628</v>
      </c>
      <c r="C16" s="580">
        <v>-89986308</v>
      </c>
      <c r="D16" s="580">
        <v>-8602623</v>
      </c>
      <c r="E16" s="585">
        <f t="shared" si="0"/>
        <v>-98588931</v>
      </c>
      <c r="F16" s="580">
        <v>-84844574</v>
      </c>
      <c r="G16" s="580">
        <v>-4179544.4599999785</v>
      </c>
      <c r="H16" s="585">
        <f t="shared" si="1"/>
        <v>-89024118.459999979</v>
      </c>
    </row>
    <row r="17" spans="1:8">
      <c r="A17" s="409">
        <v>2.4</v>
      </c>
      <c r="B17" s="398" t="s">
        <v>629</v>
      </c>
      <c r="C17" s="580"/>
      <c r="D17" s="580"/>
      <c r="E17" s="585">
        <f t="shared" si="0"/>
        <v>0</v>
      </c>
      <c r="F17" s="580"/>
      <c r="G17" s="580"/>
      <c r="H17" s="585">
        <f t="shared" si="1"/>
        <v>0</v>
      </c>
    </row>
    <row r="18" spans="1:8">
      <c r="A18" s="409">
        <v>3</v>
      </c>
      <c r="B18" s="411" t="s">
        <v>630</v>
      </c>
      <c r="C18" s="580"/>
      <c r="D18" s="580"/>
      <c r="E18" s="585">
        <f t="shared" si="0"/>
        <v>0</v>
      </c>
      <c r="F18" s="580"/>
      <c r="G18" s="580"/>
      <c r="H18" s="585">
        <f t="shared" si="1"/>
        <v>0</v>
      </c>
    </row>
    <row r="19" spans="1:8">
      <c r="A19" s="409">
        <v>4</v>
      </c>
      <c r="B19" s="411" t="s">
        <v>631</v>
      </c>
      <c r="C19" s="580">
        <v>23113080.869999997</v>
      </c>
      <c r="D19" s="580">
        <v>2758663.8899999969</v>
      </c>
      <c r="E19" s="585">
        <f t="shared" si="0"/>
        <v>25871744.759999994</v>
      </c>
      <c r="F19" s="580">
        <v>20279768.470000006</v>
      </c>
      <c r="G19" s="580">
        <v>1373405.2800000012</v>
      </c>
      <c r="H19" s="585">
        <f t="shared" si="1"/>
        <v>21653173.750000007</v>
      </c>
    </row>
    <row r="20" spans="1:8">
      <c r="A20" s="409">
        <v>5</v>
      </c>
      <c r="B20" s="411" t="s">
        <v>632</v>
      </c>
      <c r="C20" s="580">
        <v>-7310244.1599999992</v>
      </c>
      <c r="D20" s="580">
        <v>-3403378</v>
      </c>
      <c r="E20" s="585">
        <f t="shared" si="0"/>
        <v>-10713622.16</v>
      </c>
      <c r="F20" s="580">
        <v>-6268085.1599999992</v>
      </c>
      <c r="G20" s="580">
        <v>-1251303.8399999999</v>
      </c>
      <c r="H20" s="585">
        <f t="shared" si="1"/>
        <v>-7519388.9999999991</v>
      </c>
    </row>
    <row r="21" spans="1:8" ht="24" customHeight="1">
      <c r="A21" s="409">
        <v>6</v>
      </c>
      <c r="B21" s="411" t="s">
        <v>633</v>
      </c>
      <c r="C21" s="580"/>
      <c r="D21" s="580"/>
      <c r="E21" s="585">
        <f t="shared" si="0"/>
        <v>0</v>
      </c>
      <c r="F21" s="580"/>
      <c r="G21" s="580"/>
      <c r="H21" s="585">
        <f t="shared" si="1"/>
        <v>0</v>
      </c>
    </row>
    <row r="22" spans="1:8" ht="18.45" customHeight="1">
      <c r="A22" s="409">
        <v>7</v>
      </c>
      <c r="B22" s="411" t="s">
        <v>634</v>
      </c>
      <c r="C22" s="580"/>
      <c r="D22" s="580"/>
      <c r="E22" s="585">
        <f t="shared" si="0"/>
        <v>0</v>
      </c>
      <c r="F22" s="580"/>
      <c r="G22" s="580"/>
      <c r="H22" s="585">
        <f t="shared" si="1"/>
        <v>0</v>
      </c>
    </row>
    <row r="23" spans="1:8" ht="25.5" customHeight="1">
      <c r="A23" s="409">
        <v>8</v>
      </c>
      <c r="B23" s="412" t="s">
        <v>635</v>
      </c>
      <c r="C23" s="580"/>
      <c r="D23" s="580"/>
      <c r="E23" s="585">
        <f t="shared" si="0"/>
        <v>0</v>
      </c>
      <c r="F23" s="580"/>
      <c r="G23" s="580"/>
      <c r="H23" s="585">
        <f t="shared" si="1"/>
        <v>0</v>
      </c>
    </row>
    <row r="24" spans="1:8" ht="34.5" customHeight="1">
      <c r="A24" s="409">
        <v>9</v>
      </c>
      <c r="B24" s="412" t="s">
        <v>636</v>
      </c>
      <c r="C24" s="580">
        <v>-10983958.090000005</v>
      </c>
      <c r="D24" s="580"/>
      <c r="E24" s="585">
        <f t="shared" si="0"/>
        <v>-10983958.090000005</v>
      </c>
      <c r="F24" s="580">
        <v>-4598490.8500000034</v>
      </c>
      <c r="G24" s="580"/>
      <c r="H24" s="585">
        <f t="shared" si="1"/>
        <v>-4598490.8500000034</v>
      </c>
    </row>
    <row r="25" spans="1:8">
      <c r="A25" s="409">
        <v>10</v>
      </c>
      <c r="B25" s="411" t="s">
        <v>637</v>
      </c>
      <c r="C25" s="580">
        <v>2817899.6099999472</v>
      </c>
      <c r="D25" s="580"/>
      <c r="E25" s="585">
        <f t="shared" si="0"/>
        <v>2817899.6099999472</v>
      </c>
      <c r="F25" s="580">
        <v>2104959.4899998475</v>
      </c>
      <c r="G25" s="580"/>
      <c r="H25" s="585">
        <f t="shared" si="1"/>
        <v>2104959.4899998475</v>
      </c>
    </row>
    <row r="26" spans="1:8">
      <c r="A26" s="409">
        <v>11</v>
      </c>
      <c r="B26" s="413" t="s">
        <v>638</v>
      </c>
      <c r="C26" s="580">
        <v>98273.499999999985</v>
      </c>
      <c r="D26" s="580"/>
      <c r="E26" s="585">
        <f t="shared" si="0"/>
        <v>98273.499999999985</v>
      </c>
      <c r="F26" s="580">
        <v>16386.960000000006</v>
      </c>
      <c r="G26" s="580"/>
      <c r="H26" s="585">
        <f t="shared" si="1"/>
        <v>16386.960000000006</v>
      </c>
    </row>
    <row r="27" spans="1:8">
      <c r="A27" s="409">
        <v>12</v>
      </c>
      <c r="B27" s="411" t="s">
        <v>639</v>
      </c>
      <c r="C27" s="580">
        <v>2639579.1000000006</v>
      </c>
      <c r="D27" s="580"/>
      <c r="E27" s="585">
        <f t="shared" si="0"/>
        <v>2639579.1000000006</v>
      </c>
      <c r="F27" s="580">
        <v>2639253.2599999998</v>
      </c>
      <c r="G27" s="580"/>
      <c r="H27" s="585">
        <f t="shared" si="1"/>
        <v>2639253.2599999998</v>
      </c>
    </row>
    <row r="28" spans="1:8">
      <c r="A28" s="409">
        <v>13</v>
      </c>
      <c r="B28" s="414" t="s">
        <v>640</v>
      </c>
      <c r="C28" s="580">
        <v>-11656093</v>
      </c>
      <c r="D28" s="580"/>
      <c r="E28" s="585">
        <f t="shared" si="0"/>
        <v>-11656093</v>
      </c>
      <c r="F28" s="580">
        <v>-12561020</v>
      </c>
      <c r="G28" s="580"/>
      <c r="H28" s="585">
        <f t="shared" si="1"/>
        <v>-12561020</v>
      </c>
    </row>
    <row r="29" spans="1:8">
      <c r="A29" s="409">
        <v>14</v>
      </c>
      <c r="B29" s="415" t="s">
        <v>641</v>
      </c>
      <c r="C29" s="580">
        <f>SUM(C30:C31)</f>
        <v>-69410218.670000002</v>
      </c>
      <c r="D29" s="580">
        <f>SUM(D30:D31)</f>
        <v>0</v>
      </c>
      <c r="E29" s="585">
        <f t="shared" si="0"/>
        <v>-69410218.670000002</v>
      </c>
      <c r="F29" s="580">
        <f>SUM(F30:F31)</f>
        <v>-57241696.190000005</v>
      </c>
      <c r="G29" s="580">
        <f>SUM(G30:G31)</f>
        <v>0</v>
      </c>
      <c r="H29" s="585">
        <f t="shared" si="1"/>
        <v>-57241696.190000005</v>
      </c>
    </row>
    <row r="30" spans="1:8">
      <c r="A30" s="409">
        <v>14.1</v>
      </c>
      <c r="B30" s="386" t="s">
        <v>642</v>
      </c>
      <c r="C30" s="580">
        <v>-66435740.009999998</v>
      </c>
      <c r="D30" s="580"/>
      <c r="E30" s="585">
        <f t="shared" si="0"/>
        <v>-66435740.009999998</v>
      </c>
      <c r="F30" s="580">
        <v>-53897292.320000008</v>
      </c>
      <c r="G30" s="580"/>
      <c r="H30" s="585">
        <f t="shared" si="1"/>
        <v>-53897292.320000008</v>
      </c>
    </row>
    <row r="31" spans="1:8">
      <c r="A31" s="409">
        <v>14.2</v>
      </c>
      <c r="B31" s="386" t="s">
        <v>643</v>
      </c>
      <c r="C31" s="580">
        <v>-2974478.66</v>
      </c>
      <c r="D31" s="580"/>
      <c r="E31" s="585">
        <f t="shared" si="0"/>
        <v>-2974478.66</v>
      </c>
      <c r="F31" s="580">
        <v>-3344403.8700000006</v>
      </c>
      <c r="G31" s="580"/>
      <c r="H31" s="585">
        <f t="shared" si="1"/>
        <v>-3344403.8700000006</v>
      </c>
    </row>
    <row r="32" spans="1:8">
      <c r="A32" s="409">
        <v>15</v>
      </c>
      <c r="B32" s="411" t="s">
        <v>644</v>
      </c>
      <c r="C32" s="580">
        <v>-9003997.6099999975</v>
      </c>
      <c r="D32" s="580"/>
      <c r="E32" s="585">
        <f t="shared" si="0"/>
        <v>-9003997.6099999975</v>
      </c>
      <c r="F32" s="580">
        <v>-9092172.879999999</v>
      </c>
      <c r="G32" s="580"/>
      <c r="H32" s="585">
        <f t="shared" si="1"/>
        <v>-9092172.879999999</v>
      </c>
    </row>
    <row r="33" spans="1:8" ht="22.5" customHeight="1">
      <c r="A33" s="409">
        <v>16</v>
      </c>
      <c r="B33" s="384" t="s">
        <v>645</v>
      </c>
      <c r="C33" s="580"/>
      <c r="D33" s="580"/>
      <c r="E33" s="585">
        <f t="shared" si="0"/>
        <v>0</v>
      </c>
      <c r="F33" s="580"/>
      <c r="G33" s="580"/>
      <c r="H33" s="585">
        <f t="shared" si="1"/>
        <v>0</v>
      </c>
    </row>
    <row r="34" spans="1:8">
      <c r="A34" s="409">
        <v>17</v>
      </c>
      <c r="B34" s="411" t="s">
        <v>646</v>
      </c>
      <c r="C34" s="580">
        <f>SUM(C35:C36)</f>
        <v>0</v>
      </c>
      <c r="D34" s="580">
        <f>SUM(D35:D36)</f>
        <v>0</v>
      </c>
      <c r="E34" s="585">
        <f t="shared" si="0"/>
        <v>0</v>
      </c>
      <c r="F34" s="580">
        <f>SUM(F35:F36)</f>
        <v>0</v>
      </c>
      <c r="G34" s="580">
        <f>SUM(G35:G36)</f>
        <v>0</v>
      </c>
      <c r="H34" s="585">
        <f t="shared" si="1"/>
        <v>0</v>
      </c>
    </row>
    <row r="35" spans="1:8">
      <c r="A35" s="409">
        <v>17.100000000000001</v>
      </c>
      <c r="B35" s="386" t="s">
        <v>647</v>
      </c>
      <c r="C35" s="580"/>
      <c r="D35" s="580"/>
      <c r="E35" s="585">
        <f t="shared" si="0"/>
        <v>0</v>
      </c>
      <c r="F35" s="580"/>
      <c r="G35" s="580"/>
      <c r="H35" s="585">
        <f t="shared" si="1"/>
        <v>0</v>
      </c>
    </row>
    <row r="36" spans="1:8">
      <c r="A36" s="409">
        <v>17.2</v>
      </c>
      <c r="B36" s="386" t="s">
        <v>648</v>
      </c>
      <c r="C36" s="580"/>
      <c r="D36" s="580"/>
      <c r="E36" s="585">
        <f t="shared" si="0"/>
        <v>0</v>
      </c>
      <c r="F36" s="580"/>
      <c r="G36" s="580"/>
      <c r="H36" s="585">
        <f t="shared" si="1"/>
        <v>0</v>
      </c>
    </row>
    <row r="37" spans="1:8" ht="41.55" customHeight="1">
      <c r="A37" s="409">
        <v>18</v>
      </c>
      <c r="B37" s="416" t="s">
        <v>649</v>
      </c>
      <c r="C37" s="580">
        <f>SUM(C38:C39)</f>
        <v>-26512651.210000001</v>
      </c>
      <c r="D37" s="580">
        <f>SUM(D38:D39)</f>
        <v>461248.19000000134</v>
      </c>
      <c r="E37" s="585">
        <f t="shared" si="0"/>
        <v>-26051403.02</v>
      </c>
      <c r="F37" s="580">
        <f>SUM(F38:F39)</f>
        <v>-27454818.649999995</v>
      </c>
      <c r="G37" s="580">
        <f>SUM(G38:G39)</f>
        <v>2187359.4700000025</v>
      </c>
      <c r="H37" s="585">
        <f t="shared" si="1"/>
        <v>-25267459.179999992</v>
      </c>
    </row>
    <row r="38" spans="1:8">
      <c r="A38" s="409">
        <v>18.100000000000001</v>
      </c>
      <c r="B38" s="417" t="s">
        <v>650</v>
      </c>
      <c r="C38" s="580"/>
      <c r="D38" s="580"/>
      <c r="E38" s="585">
        <f t="shared" si="0"/>
        <v>0</v>
      </c>
      <c r="F38" s="580"/>
      <c r="G38" s="580"/>
      <c r="H38" s="585">
        <f t="shared" si="1"/>
        <v>0</v>
      </c>
    </row>
    <row r="39" spans="1:8">
      <c r="A39" s="409">
        <v>18.2</v>
      </c>
      <c r="B39" s="417" t="s">
        <v>651</v>
      </c>
      <c r="C39" s="580">
        <v>-26512651.210000001</v>
      </c>
      <c r="D39" s="580">
        <v>461248.19000000134</v>
      </c>
      <c r="E39" s="585">
        <f t="shared" si="0"/>
        <v>-26051403.02</v>
      </c>
      <c r="F39" s="580">
        <v>-27454818.649999995</v>
      </c>
      <c r="G39" s="580">
        <v>2187359.4700000025</v>
      </c>
      <c r="H39" s="585">
        <f t="shared" si="1"/>
        <v>-25267459.179999992</v>
      </c>
    </row>
    <row r="40" spans="1:8" ht="24.45" customHeight="1">
      <c r="A40" s="409">
        <v>19</v>
      </c>
      <c r="B40" s="416" t="s">
        <v>652</v>
      </c>
      <c r="C40" s="580"/>
      <c r="D40" s="580"/>
      <c r="E40" s="585">
        <f t="shared" si="0"/>
        <v>0</v>
      </c>
      <c r="F40" s="580"/>
      <c r="G40" s="580"/>
      <c r="H40" s="585">
        <f t="shared" si="1"/>
        <v>0</v>
      </c>
    </row>
    <row r="41" spans="1:8" ht="17.55" customHeight="1">
      <c r="A41" s="409">
        <v>20</v>
      </c>
      <c r="B41" s="416" t="s">
        <v>653</v>
      </c>
      <c r="C41" s="580">
        <v>-449060.21</v>
      </c>
      <c r="D41" s="580"/>
      <c r="E41" s="585">
        <f t="shared" si="0"/>
        <v>-449060.21</v>
      </c>
      <c r="F41" s="580">
        <v>-622424.31999999995</v>
      </c>
      <c r="G41" s="580"/>
      <c r="H41" s="585">
        <f t="shared" si="1"/>
        <v>-622424.31999999995</v>
      </c>
    </row>
    <row r="42" spans="1:8" ht="26.55" customHeight="1">
      <c r="A42" s="409">
        <v>21</v>
      </c>
      <c r="B42" s="416" t="s">
        <v>654</v>
      </c>
      <c r="C42" s="580"/>
      <c r="D42" s="580"/>
      <c r="E42" s="585">
        <f t="shared" si="0"/>
        <v>0</v>
      </c>
      <c r="F42" s="580"/>
      <c r="G42" s="580"/>
      <c r="H42" s="585">
        <f t="shared" si="1"/>
        <v>0</v>
      </c>
    </row>
    <row r="43" spans="1:8">
      <c r="A43" s="409">
        <v>22</v>
      </c>
      <c r="B43" s="418" t="s">
        <v>655</v>
      </c>
      <c r="C43" s="580">
        <f>SUM(C6,C13,C18,C19,C20,C21,C22,C23,C24,C25,C26,C27,C28,C29,C32,C33,C34,C37,C40,C41,C42)</f>
        <v>15926701.129999951</v>
      </c>
      <c r="D43" s="580">
        <f>SUM(D6,D13,D18,D19,D20,D21,D22,D23,D24,D25,D26,D27,D28,D29,D32,D33,D34,D37,D40,D41,D42)</f>
        <v>-385979.04000003636</v>
      </c>
      <c r="E43" s="585">
        <f t="shared" si="0"/>
        <v>15540722.089999914</v>
      </c>
      <c r="F43" s="580">
        <f>SUM(F6,F13,F18,F19,F20,F21,F22,F23,F24,F25,F26,F27,F28,F29,F32,F33,F34,F37,F40,F41,F42)</f>
        <v>19791980.209999818</v>
      </c>
      <c r="G43" s="580">
        <f>SUM(G6,G13,G18,G19,G20,G21,G22,G23,G24,G25,G26,G27,G28,G29,G32,G33,G34,G37,G40,G41,G42)</f>
        <v>3202370.2400000468</v>
      </c>
      <c r="H43" s="585">
        <f t="shared" si="1"/>
        <v>22994350.449999865</v>
      </c>
    </row>
    <row r="44" spans="1:8">
      <c r="A44" s="409">
        <v>23</v>
      </c>
      <c r="B44" s="418" t="s">
        <v>656</v>
      </c>
      <c r="C44" s="580">
        <v>1686493.98</v>
      </c>
      <c r="D44" s="580"/>
      <c r="E44" s="585">
        <f t="shared" si="0"/>
        <v>1686493.98</v>
      </c>
      <c r="F44" s="580">
        <v>3449152.47</v>
      </c>
      <c r="G44" s="580"/>
      <c r="H44" s="585">
        <f t="shared" si="1"/>
        <v>3449152.47</v>
      </c>
    </row>
    <row r="45" spans="1:8">
      <c r="A45" s="409">
        <v>24</v>
      </c>
      <c r="B45" s="419" t="s">
        <v>657</v>
      </c>
      <c r="C45" s="580">
        <f>C43-C44</f>
        <v>14240207.14999995</v>
      </c>
      <c r="D45" s="580">
        <f>D43-D44</f>
        <v>-385979.04000003636</v>
      </c>
      <c r="E45" s="585">
        <f t="shared" si="0"/>
        <v>13854228.109999914</v>
      </c>
      <c r="F45" s="580">
        <f>F43-F44</f>
        <v>16342827.739999818</v>
      </c>
      <c r="G45" s="580">
        <f>G43-G44</f>
        <v>3202370.2400000468</v>
      </c>
      <c r="H45" s="585">
        <f t="shared" si="1"/>
        <v>19545197.979999863</v>
      </c>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20" zoomScale="70" zoomScaleNormal="70" workbookViewId="0">
      <selection activeCell="G50" sqref="G50"/>
    </sheetView>
  </sheetViews>
  <sheetFormatPr defaultRowHeight="14.4"/>
  <cols>
    <col min="1" max="1" width="8.77734375" style="406"/>
    <col min="2" max="2" width="87.6640625" bestFit="1" customWidth="1"/>
    <col min="3" max="8" width="15.44140625" customWidth="1"/>
  </cols>
  <sheetData>
    <row r="1" spans="1:8" s="5" customFormat="1" ht="13.8">
      <c r="A1" s="2" t="s">
        <v>31</v>
      </c>
      <c r="B1" s="3" t="str">
        <f>'Info '!C2</f>
        <v>JSC "CREDOBANK"</v>
      </c>
      <c r="C1" s="3"/>
      <c r="D1" s="4"/>
      <c r="E1" s="4"/>
      <c r="F1" s="4"/>
      <c r="G1" s="4"/>
    </row>
    <row r="2" spans="1:8" s="5" customFormat="1" ht="13.8">
      <c r="A2" s="2" t="s">
        <v>32</v>
      </c>
      <c r="B2" s="325">
        <f>'1. key ratios '!B2</f>
        <v>45107</v>
      </c>
      <c r="C2" s="3"/>
      <c r="D2" s="4"/>
      <c r="E2" s="4"/>
      <c r="F2" s="4"/>
      <c r="G2" s="4"/>
    </row>
    <row r="3" spans="1:8" ht="15" thickBot="1">
      <c r="A3"/>
    </row>
    <row r="4" spans="1:8">
      <c r="A4" s="725" t="s">
        <v>7</v>
      </c>
      <c r="B4" s="726" t="s">
        <v>95</v>
      </c>
      <c r="C4" s="716" t="s">
        <v>559</v>
      </c>
      <c r="D4" s="716"/>
      <c r="E4" s="716"/>
      <c r="F4" s="716" t="s">
        <v>560</v>
      </c>
      <c r="G4" s="716"/>
      <c r="H4" s="717"/>
    </row>
    <row r="5" spans="1:8">
      <c r="A5" s="725"/>
      <c r="B5" s="726"/>
      <c r="C5" s="408" t="s">
        <v>33</v>
      </c>
      <c r="D5" s="408" t="s">
        <v>34</v>
      </c>
      <c r="E5" s="408" t="s">
        <v>35</v>
      </c>
      <c r="F5" s="408" t="s">
        <v>33</v>
      </c>
      <c r="G5" s="408" t="s">
        <v>34</v>
      </c>
      <c r="H5" s="408" t="s">
        <v>35</v>
      </c>
    </row>
    <row r="6" spans="1:8">
      <c r="A6" s="394">
        <v>1</v>
      </c>
      <c r="B6" s="420" t="s">
        <v>658</v>
      </c>
      <c r="C6" s="421"/>
      <c r="D6" s="421"/>
      <c r="E6" s="586">
        <f t="shared" ref="E6:E43" si="0">C6+D6</f>
        <v>0</v>
      </c>
      <c r="F6" s="421"/>
      <c r="G6" s="421"/>
      <c r="H6" s="587">
        <f t="shared" ref="H6:H43" si="1">F6+G6</f>
        <v>0</v>
      </c>
    </row>
    <row r="7" spans="1:8">
      <c r="A7" s="394">
        <v>2</v>
      </c>
      <c r="B7" s="420" t="s">
        <v>197</v>
      </c>
      <c r="C7" s="421"/>
      <c r="D7" s="421"/>
      <c r="E7" s="586">
        <f t="shared" si="0"/>
        <v>0</v>
      </c>
      <c r="F7" s="421"/>
      <c r="G7" s="421"/>
      <c r="H7" s="587">
        <f t="shared" si="1"/>
        <v>0</v>
      </c>
    </row>
    <row r="8" spans="1:8">
      <c r="A8" s="394">
        <v>3</v>
      </c>
      <c r="B8" s="420" t="s">
        <v>207</v>
      </c>
      <c r="C8" s="421">
        <f>C9+C10</f>
        <v>1120369267.55</v>
      </c>
      <c r="D8" s="421">
        <f>D9+D10</f>
        <v>0</v>
      </c>
      <c r="E8" s="586">
        <f t="shared" si="0"/>
        <v>1120369267.55</v>
      </c>
      <c r="F8" s="421">
        <f>F9+F10</f>
        <v>888174311.63</v>
      </c>
      <c r="G8" s="421">
        <f>G9+G10</f>
        <v>0</v>
      </c>
      <c r="H8" s="587">
        <f t="shared" si="1"/>
        <v>888174311.63</v>
      </c>
    </row>
    <row r="9" spans="1:8">
      <c r="A9" s="394">
        <v>3.1</v>
      </c>
      <c r="B9" s="422" t="s">
        <v>198</v>
      </c>
      <c r="C9" s="421">
        <v>1120103162.55</v>
      </c>
      <c r="D9" s="421"/>
      <c r="E9" s="586">
        <f t="shared" si="0"/>
        <v>1120103162.55</v>
      </c>
      <c r="F9" s="421">
        <v>887903351.62</v>
      </c>
      <c r="G9" s="421"/>
      <c r="H9" s="587">
        <f t="shared" si="1"/>
        <v>887903351.62</v>
      </c>
    </row>
    <row r="10" spans="1:8">
      <c r="A10" s="394">
        <v>3.2</v>
      </c>
      <c r="B10" s="422" t="s">
        <v>194</v>
      </c>
      <c r="C10" s="421">
        <v>266105</v>
      </c>
      <c r="D10" s="421"/>
      <c r="E10" s="586">
        <f t="shared" si="0"/>
        <v>266105</v>
      </c>
      <c r="F10" s="421">
        <v>270960.01</v>
      </c>
      <c r="G10" s="421"/>
      <c r="H10" s="587">
        <f t="shared" si="1"/>
        <v>270960.01</v>
      </c>
    </row>
    <row r="11" spans="1:8">
      <c r="A11" s="394">
        <v>4</v>
      </c>
      <c r="B11" s="423" t="s">
        <v>196</v>
      </c>
      <c r="C11" s="421">
        <f>C12+C13</f>
        <v>0</v>
      </c>
      <c r="D11" s="421">
        <f>D12+D13</f>
        <v>0</v>
      </c>
      <c r="E11" s="586">
        <f t="shared" si="0"/>
        <v>0</v>
      </c>
      <c r="F11" s="421">
        <f>F12+F13</f>
        <v>0</v>
      </c>
      <c r="G11" s="421">
        <f>G12+G13</f>
        <v>0</v>
      </c>
      <c r="H11" s="587">
        <f t="shared" si="1"/>
        <v>0</v>
      </c>
    </row>
    <row r="12" spans="1:8">
      <c r="A12" s="394">
        <v>4.0999999999999996</v>
      </c>
      <c r="B12" s="422" t="s">
        <v>180</v>
      </c>
      <c r="C12" s="421"/>
      <c r="D12" s="421"/>
      <c r="E12" s="586">
        <f t="shared" si="0"/>
        <v>0</v>
      </c>
      <c r="F12" s="421"/>
      <c r="G12" s="421"/>
      <c r="H12" s="587">
        <f t="shared" si="1"/>
        <v>0</v>
      </c>
    </row>
    <row r="13" spans="1:8">
      <c r="A13" s="394">
        <v>4.2</v>
      </c>
      <c r="B13" s="422" t="s">
        <v>181</v>
      </c>
      <c r="C13" s="421"/>
      <c r="D13" s="421"/>
      <c r="E13" s="586">
        <f t="shared" si="0"/>
        <v>0</v>
      </c>
      <c r="F13" s="421"/>
      <c r="G13" s="421"/>
      <c r="H13" s="587">
        <f t="shared" si="1"/>
        <v>0</v>
      </c>
    </row>
    <row r="14" spans="1:8">
      <c r="A14" s="394">
        <v>5</v>
      </c>
      <c r="B14" s="423" t="s">
        <v>206</v>
      </c>
      <c r="C14" s="696">
        <f>C15+C16+C17+C23+C24+C25+C26</f>
        <v>1144444646.9400001</v>
      </c>
      <c r="D14" s="696">
        <f>D15+D16+D17+D23+D24+D25+D26</f>
        <v>2617700</v>
      </c>
      <c r="E14" s="586">
        <f t="shared" si="0"/>
        <v>1147062346.9400001</v>
      </c>
      <c r="F14" s="696">
        <f>F15+F16+F17+F23+F24+F25+F26</f>
        <v>688450928.93000007</v>
      </c>
      <c r="G14" s="696">
        <f>G15+G16+G17+G23+G24+G25+G26</f>
        <v>0</v>
      </c>
      <c r="H14" s="587">
        <f t="shared" si="1"/>
        <v>688450928.93000007</v>
      </c>
    </row>
    <row r="15" spans="1:8">
      <c r="A15" s="394">
        <v>5.0999999999999996</v>
      </c>
      <c r="B15" s="424" t="s">
        <v>184</v>
      </c>
      <c r="C15" s="421">
        <v>13767435.439999999</v>
      </c>
      <c r="D15" s="421">
        <v>2617700</v>
      </c>
      <c r="E15" s="586">
        <f t="shared" si="0"/>
        <v>16385135.439999999</v>
      </c>
      <c r="F15" s="421">
        <v>9565261.6899999995</v>
      </c>
      <c r="G15" s="421"/>
      <c r="H15" s="587">
        <f t="shared" si="1"/>
        <v>9565261.6899999995</v>
      </c>
    </row>
    <row r="16" spans="1:8">
      <c r="A16" s="394">
        <v>5.2</v>
      </c>
      <c r="B16" s="424" t="s">
        <v>183</v>
      </c>
      <c r="C16" s="421">
        <v>5004.78</v>
      </c>
      <c r="D16" s="421"/>
      <c r="E16" s="586">
        <f t="shared" si="0"/>
        <v>5004.78</v>
      </c>
      <c r="F16" s="421">
        <v>46591.38</v>
      </c>
      <c r="G16" s="421"/>
      <c r="H16" s="587">
        <f t="shared" si="1"/>
        <v>46591.38</v>
      </c>
    </row>
    <row r="17" spans="1:8">
      <c r="A17" s="394">
        <v>5.3</v>
      </c>
      <c r="B17" s="424" t="s">
        <v>182</v>
      </c>
      <c r="C17" s="421">
        <f>C18+C19+C20+C21+C22</f>
        <v>1021804093</v>
      </c>
      <c r="D17" s="421">
        <f>D18+D19+D20+D21+D22</f>
        <v>0</v>
      </c>
      <c r="E17" s="586">
        <f t="shared" si="0"/>
        <v>1021804093</v>
      </c>
      <c r="F17" s="421">
        <f>F18+F19+F20+F21+F22</f>
        <v>637259170.47000003</v>
      </c>
      <c r="G17" s="421"/>
      <c r="H17" s="587">
        <f t="shared" si="1"/>
        <v>637259170.47000003</v>
      </c>
    </row>
    <row r="18" spans="1:8">
      <c r="A18" s="394" t="s">
        <v>16</v>
      </c>
      <c r="B18" s="425" t="s">
        <v>37</v>
      </c>
      <c r="C18" s="421">
        <v>744415549.07000005</v>
      </c>
      <c r="D18" s="421"/>
      <c r="E18" s="586">
        <f t="shared" si="0"/>
        <v>744415549.07000005</v>
      </c>
      <c r="F18" s="421">
        <v>434339243.75</v>
      </c>
      <c r="G18" s="421"/>
      <c r="H18" s="587">
        <f t="shared" si="1"/>
        <v>434339243.75</v>
      </c>
    </row>
    <row r="19" spans="1:8">
      <c r="A19" s="394" t="s">
        <v>17</v>
      </c>
      <c r="B19" s="425" t="s">
        <v>38</v>
      </c>
      <c r="C19" s="421">
        <v>139251537.41</v>
      </c>
      <c r="D19" s="421"/>
      <c r="E19" s="586">
        <f t="shared" si="0"/>
        <v>139251537.41</v>
      </c>
      <c r="F19" s="421">
        <v>99038197.790000007</v>
      </c>
      <c r="G19" s="421"/>
      <c r="H19" s="587">
        <f t="shared" si="1"/>
        <v>99038197.790000007</v>
      </c>
    </row>
    <row r="20" spans="1:8">
      <c r="A20" s="394" t="s">
        <v>18</v>
      </c>
      <c r="B20" s="425" t="s">
        <v>39</v>
      </c>
      <c r="C20" s="421"/>
      <c r="D20" s="421"/>
      <c r="E20" s="586">
        <f t="shared" si="0"/>
        <v>0</v>
      </c>
      <c r="F20" s="421">
        <v>0</v>
      </c>
      <c r="G20" s="421"/>
      <c r="H20" s="587">
        <f t="shared" si="1"/>
        <v>0</v>
      </c>
    </row>
    <row r="21" spans="1:8">
      <c r="A21" s="394" t="s">
        <v>19</v>
      </c>
      <c r="B21" s="425" t="s">
        <v>40</v>
      </c>
      <c r="C21" s="421">
        <v>133857202.11</v>
      </c>
      <c r="D21" s="421"/>
      <c r="E21" s="586">
        <f t="shared" si="0"/>
        <v>133857202.11</v>
      </c>
      <c r="F21" s="421">
        <v>101126218.14</v>
      </c>
      <c r="G21" s="421"/>
      <c r="H21" s="587">
        <f t="shared" si="1"/>
        <v>101126218.14</v>
      </c>
    </row>
    <row r="22" spans="1:8">
      <c r="A22" s="394" t="s">
        <v>20</v>
      </c>
      <c r="B22" s="425" t="s">
        <v>41</v>
      </c>
      <c r="C22" s="421">
        <v>4279804.41</v>
      </c>
      <c r="D22" s="421"/>
      <c r="E22" s="586">
        <f t="shared" si="0"/>
        <v>4279804.41</v>
      </c>
      <c r="F22" s="421">
        <v>2755510.79</v>
      </c>
      <c r="G22" s="421"/>
      <c r="H22" s="587">
        <f t="shared" si="1"/>
        <v>2755510.79</v>
      </c>
    </row>
    <row r="23" spans="1:8">
      <c r="A23" s="394">
        <v>5.4</v>
      </c>
      <c r="B23" s="424" t="s">
        <v>185</v>
      </c>
      <c r="C23" s="421">
        <v>108868113.72</v>
      </c>
      <c r="D23" s="421"/>
      <c r="E23" s="586">
        <f t="shared" si="0"/>
        <v>108868113.72</v>
      </c>
      <c r="F23" s="421">
        <v>41579905.390000001</v>
      </c>
      <c r="G23" s="421"/>
      <c r="H23" s="587">
        <f t="shared" si="1"/>
        <v>41579905.390000001</v>
      </c>
    </row>
    <row r="24" spans="1:8">
      <c r="A24" s="394">
        <v>5.5</v>
      </c>
      <c r="B24" s="424" t="s">
        <v>186</v>
      </c>
      <c r="C24" s="421"/>
      <c r="D24" s="421"/>
      <c r="E24" s="586">
        <f t="shared" si="0"/>
        <v>0</v>
      </c>
      <c r="F24" s="421"/>
      <c r="G24" s="421"/>
      <c r="H24" s="587">
        <f t="shared" si="1"/>
        <v>0</v>
      </c>
    </row>
    <row r="25" spans="1:8">
      <c r="A25" s="394">
        <v>5.6</v>
      </c>
      <c r="B25" s="424" t="s">
        <v>187</v>
      </c>
      <c r="C25" s="421"/>
      <c r="D25" s="421"/>
      <c r="E25" s="586">
        <f t="shared" si="0"/>
        <v>0</v>
      </c>
      <c r="F25" s="421"/>
      <c r="G25" s="421"/>
      <c r="H25" s="587">
        <f t="shared" si="1"/>
        <v>0</v>
      </c>
    </row>
    <row r="26" spans="1:8">
      <c r="A26" s="394">
        <v>5.7</v>
      </c>
      <c r="B26" s="424" t="s">
        <v>41</v>
      </c>
      <c r="C26" s="421"/>
      <c r="D26" s="421"/>
      <c r="E26" s="586">
        <f t="shared" si="0"/>
        <v>0</v>
      </c>
      <c r="F26" s="421"/>
      <c r="G26" s="421"/>
      <c r="H26" s="587">
        <f t="shared" si="1"/>
        <v>0</v>
      </c>
    </row>
    <row r="27" spans="1:8">
      <c r="A27" s="394">
        <v>6</v>
      </c>
      <c r="B27" s="426" t="s">
        <v>659</v>
      </c>
      <c r="C27" s="421">
        <v>30877104.02</v>
      </c>
      <c r="D27" s="421">
        <v>13097722.42</v>
      </c>
      <c r="E27" s="586">
        <f t="shared" si="0"/>
        <v>43974826.439999998</v>
      </c>
      <c r="F27" s="421">
        <v>28520746.66</v>
      </c>
      <c r="G27" s="421">
        <v>6177681.2699999996</v>
      </c>
      <c r="H27" s="587">
        <f t="shared" si="1"/>
        <v>34698427.93</v>
      </c>
    </row>
    <row r="28" spans="1:8">
      <c r="A28" s="394">
        <v>7</v>
      </c>
      <c r="B28" s="426" t="s">
        <v>660</v>
      </c>
      <c r="C28" s="421">
        <v>78045</v>
      </c>
      <c r="D28" s="421"/>
      <c r="E28" s="586">
        <f t="shared" si="0"/>
        <v>78045</v>
      </c>
      <c r="F28" s="421">
        <v>30000</v>
      </c>
      <c r="G28" s="421"/>
      <c r="H28" s="587">
        <f t="shared" si="1"/>
        <v>30000</v>
      </c>
    </row>
    <row r="29" spans="1:8">
      <c r="A29" s="394">
        <v>8</v>
      </c>
      <c r="B29" s="426" t="s">
        <v>195</v>
      </c>
      <c r="C29" s="421"/>
      <c r="D29" s="421"/>
      <c r="E29" s="586">
        <f t="shared" si="0"/>
        <v>0</v>
      </c>
      <c r="F29" s="421"/>
      <c r="G29" s="421"/>
      <c r="H29" s="587">
        <f t="shared" si="1"/>
        <v>0</v>
      </c>
    </row>
    <row r="30" spans="1:8">
      <c r="A30" s="394">
        <v>9</v>
      </c>
      <c r="B30" s="427" t="s">
        <v>212</v>
      </c>
      <c r="C30" s="696">
        <f>C31+C32+C33+C34+C35+C36+C37</f>
        <v>193719115.5</v>
      </c>
      <c r="D30" s="696">
        <f>D31+D32+D33+D34+D35+D36+D37</f>
        <v>2116982.6</v>
      </c>
      <c r="E30" s="586">
        <f t="shared" si="0"/>
        <v>195836098.09999999</v>
      </c>
      <c r="F30" s="696">
        <f>F31+F32+F33+F34+F35+F36+F37</f>
        <v>105533676.98999999</v>
      </c>
      <c r="G30" s="696">
        <f>G31+G32+G33+G34+G35+G36+G37</f>
        <v>1289805.08</v>
      </c>
      <c r="H30" s="587">
        <f t="shared" si="1"/>
        <v>106823482.06999999</v>
      </c>
    </row>
    <row r="31" spans="1:8">
      <c r="A31" s="394">
        <v>9.1</v>
      </c>
      <c r="B31" s="428" t="s">
        <v>202</v>
      </c>
      <c r="C31" s="421"/>
      <c r="D31" s="421"/>
      <c r="E31" s="586">
        <f t="shared" si="0"/>
        <v>0</v>
      </c>
      <c r="F31" s="421"/>
      <c r="G31" s="421"/>
      <c r="H31" s="587">
        <f t="shared" si="1"/>
        <v>0</v>
      </c>
    </row>
    <row r="32" spans="1:8">
      <c r="A32" s="394">
        <v>9.1999999999999993</v>
      </c>
      <c r="B32" s="428" t="s">
        <v>203</v>
      </c>
      <c r="C32" s="421">
        <v>193719115.5</v>
      </c>
      <c r="D32" s="421">
        <v>2116982.6</v>
      </c>
      <c r="E32" s="586">
        <f t="shared" si="0"/>
        <v>195836098.09999999</v>
      </c>
      <c r="F32" s="421">
        <v>105533676.98999999</v>
      </c>
      <c r="G32" s="421">
        <v>1289805.08</v>
      </c>
      <c r="H32" s="587">
        <f t="shared" si="1"/>
        <v>106823482.06999999</v>
      </c>
    </row>
    <row r="33" spans="1:8">
      <c r="A33" s="394">
        <v>9.3000000000000007</v>
      </c>
      <c r="B33" s="428" t="s">
        <v>199</v>
      </c>
      <c r="C33" s="421"/>
      <c r="D33" s="421"/>
      <c r="E33" s="586">
        <f t="shared" si="0"/>
        <v>0</v>
      </c>
      <c r="F33" s="421"/>
      <c r="G33" s="421"/>
      <c r="H33" s="587">
        <f t="shared" si="1"/>
        <v>0</v>
      </c>
    </row>
    <row r="34" spans="1:8">
      <c r="A34" s="394">
        <v>9.4</v>
      </c>
      <c r="B34" s="428" t="s">
        <v>200</v>
      </c>
      <c r="C34" s="421"/>
      <c r="D34" s="421"/>
      <c r="E34" s="586">
        <f t="shared" si="0"/>
        <v>0</v>
      </c>
      <c r="F34" s="421"/>
      <c r="G34" s="421"/>
      <c r="H34" s="587">
        <f t="shared" si="1"/>
        <v>0</v>
      </c>
    </row>
    <row r="35" spans="1:8">
      <c r="A35" s="394">
        <v>9.5</v>
      </c>
      <c r="B35" s="428" t="s">
        <v>201</v>
      </c>
      <c r="C35" s="421"/>
      <c r="D35" s="421"/>
      <c r="E35" s="586">
        <f t="shared" si="0"/>
        <v>0</v>
      </c>
      <c r="F35" s="421"/>
      <c r="G35" s="421"/>
      <c r="H35" s="587">
        <f t="shared" si="1"/>
        <v>0</v>
      </c>
    </row>
    <row r="36" spans="1:8">
      <c r="A36" s="394">
        <v>9.6</v>
      </c>
      <c r="B36" s="428" t="s">
        <v>204</v>
      </c>
      <c r="C36" s="421"/>
      <c r="D36" s="421"/>
      <c r="E36" s="586">
        <f t="shared" si="0"/>
        <v>0</v>
      </c>
      <c r="F36" s="421"/>
      <c r="G36" s="421"/>
      <c r="H36" s="587">
        <f t="shared" si="1"/>
        <v>0</v>
      </c>
    </row>
    <row r="37" spans="1:8">
      <c r="A37" s="394">
        <v>9.6999999999999993</v>
      </c>
      <c r="B37" s="428" t="s">
        <v>205</v>
      </c>
      <c r="C37" s="421"/>
      <c r="D37" s="421"/>
      <c r="E37" s="586">
        <f t="shared" si="0"/>
        <v>0</v>
      </c>
      <c r="F37" s="421"/>
      <c r="G37" s="421"/>
      <c r="H37" s="587">
        <f t="shared" si="1"/>
        <v>0</v>
      </c>
    </row>
    <row r="38" spans="1:8">
      <c r="A38" s="394">
        <v>10</v>
      </c>
      <c r="B38" s="423" t="s">
        <v>208</v>
      </c>
      <c r="C38" s="696">
        <f>C39+C40+C41+C42</f>
        <v>213318425</v>
      </c>
      <c r="D38" s="696">
        <f>D39+D40+D41+D42</f>
        <v>5999371.1940879999</v>
      </c>
      <c r="E38" s="586">
        <f t="shared" si="0"/>
        <v>219317796.19408801</v>
      </c>
      <c r="F38" s="696">
        <f>F39+F40+F41+F42</f>
        <v>141088989.17000002</v>
      </c>
      <c r="G38" s="696">
        <f>G39+G40+G41+G42</f>
        <v>26170365.090166003</v>
      </c>
      <c r="H38" s="587">
        <f t="shared" si="1"/>
        <v>167259354.26016602</v>
      </c>
    </row>
    <row r="39" spans="1:8">
      <c r="A39" s="394">
        <v>10.1</v>
      </c>
      <c r="B39" s="429" t="s">
        <v>209</v>
      </c>
      <c r="C39" s="421">
        <v>9738667.0899999999</v>
      </c>
      <c r="D39" s="421"/>
      <c r="E39" s="586">
        <f t="shared" si="0"/>
        <v>9738667.0899999999</v>
      </c>
      <c r="F39" s="421">
        <v>13021022.67</v>
      </c>
      <c r="G39" s="421">
        <v>4813.32</v>
      </c>
      <c r="H39" s="587">
        <f t="shared" si="1"/>
        <v>13025835.99</v>
      </c>
    </row>
    <row r="40" spans="1:8">
      <c r="A40" s="394">
        <v>10.199999999999999</v>
      </c>
      <c r="B40" s="429" t="s">
        <v>210</v>
      </c>
      <c r="C40" s="421">
        <v>7496281</v>
      </c>
      <c r="D40" s="421">
        <v>38565</v>
      </c>
      <c r="E40" s="586">
        <f t="shared" si="0"/>
        <v>7534846</v>
      </c>
      <c r="F40" s="421">
        <v>7332347</v>
      </c>
      <c r="G40" s="421">
        <v>569769</v>
      </c>
      <c r="H40" s="587">
        <f t="shared" si="1"/>
        <v>7902116</v>
      </c>
    </row>
    <row r="41" spans="1:8">
      <c r="A41" s="394">
        <v>10.3</v>
      </c>
      <c r="B41" s="429" t="s">
        <v>213</v>
      </c>
      <c r="C41" s="421">
        <v>118702898.91000001</v>
      </c>
      <c r="D41" s="421">
        <v>3076142.1940879999</v>
      </c>
      <c r="E41" s="586">
        <f t="shared" si="0"/>
        <v>121779041.10408801</v>
      </c>
      <c r="F41" s="421">
        <v>74083998.810000032</v>
      </c>
      <c r="G41" s="421">
        <v>17006657.612463001</v>
      </c>
      <c r="H41" s="587">
        <f t="shared" si="1"/>
        <v>91090656.42246303</v>
      </c>
    </row>
    <row r="42" spans="1:8" ht="26.4">
      <c r="A42" s="394">
        <v>10.4</v>
      </c>
      <c r="B42" s="429" t="s">
        <v>214</v>
      </c>
      <c r="C42" s="421">
        <v>77380578</v>
      </c>
      <c r="D42" s="421">
        <v>2884664</v>
      </c>
      <c r="E42" s="586">
        <f t="shared" si="0"/>
        <v>80265242</v>
      </c>
      <c r="F42" s="421">
        <v>46651620.689999983</v>
      </c>
      <c r="G42" s="421">
        <v>8589125.1577030011</v>
      </c>
      <c r="H42" s="587">
        <f t="shared" si="1"/>
        <v>55240745.84770298</v>
      </c>
    </row>
    <row r="43" spans="1:8" ht="15" thickBot="1">
      <c r="A43" s="394">
        <v>11</v>
      </c>
      <c r="B43" s="141" t="s">
        <v>211</v>
      </c>
      <c r="C43" s="421"/>
      <c r="D43" s="421"/>
      <c r="E43" s="586">
        <f t="shared" si="0"/>
        <v>0</v>
      </c>
      <c r="F43" s="421"/>
      <c r="G43" s="421"/>
      <c r="H43" s="587">
        <f t="shared" si="1"/>
        <v>0</v>
      </c>
    </row>
    <row r="44" spans="1:8">
      <c r="C44" s="430"/>
      <c r="D44" s="430"/>
      <c r="E44" s="430"/>
      <c r="F44" s="430"/>
      <c r="G44" s="430"/>
      <c r="H44" s="430"/>
    </row>
    <row r="45" spans="1:8">
      <c r="C45" s="430"/>
      <c r="D45" s="430"/>
      <c r="E45" s="430"/>
      <c r="F45" s="430"/>
      <c r="G45" s="430"/>
      <c r="H45" s="430"/>
    </row>
    <row r="46" spans="1:8">
      <c r="C46" s="430"/>
      <c r="D46" s="430"/>
      <c r="E46" s="430"/>
      <c r="F46" s="430"/>
      <c r="G46" s="430"/>
      <c r="H46" s="430"/>
    </row>
    <row r="47" spans="1:8">
      <c r="C47" s="430"/>
      <c r="D47" s="430"/>
      <c r="E47" s="430"/>
      <c r="F47" s="430"/>
      <c r="G47" s="430"/>
      <c r="H47" s="430"/>
    </row>
  </sheetData>
  <mergeCells count="4">
    <mergeCell ref="A4:A5"/>
    <mergeCell ref="B4:B5"/>
    <mergeCell ref="C4:E4"/>
    <mergeCell ref="F4:H4"/>
  </mergeCells>
  <pageMargins left="0.7" right="0.7" top="0.75" bottom="0.75" header="0.3" footer="0.3"/>
  <pageSetup paperSize="9" orientation="portrait" r:id="rId1"/>
  <ignoredErrors>
    <ignoredError sqref="E8 E11 E14 E17 E30 E3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7" sqref="C7:G12"/>
    </sheetView>
  </sheetViews>
  <sheetFormatPr defaultColWidth="9.21875" defaultRowHeight="13.2"/>
  <cols>
    <col min="1" max="1" width="9.5546875" style="4" bestFit="1" customWidth="1"/>
    <col min="2" max="2" width="93.5546875" style="4" customWidth="1"/>
    <col min="3" max="4" width="12.33203125" style="4" bestFit="1" customWidth="1"/>
    <col min="5" max="7" width="12.33203125" style="16" bestFit="1" customWidth="1"/>
    <col min="8" max="11" width="9.77734375" style="16" customWidth="1"/>
    <col min="12" max="16384" width="9.21875" style="16"/>
  </cols>
  <sheetData>
    <row r="1" spans="1:7">
      <c r="A1" s="2" t="s">
        <v>31</v>
      </c>
      <c r="B1" s="3" t="str">
        <f>'Info '!C2</f>
        <v>JSC "CREDOBANK"</v>
      </c>
      <c r="C1" s="3"/>
    </row>
    <row r="2" spans="1:7">
      <c r="A2" s="2" t="s">
        <v>32</v>
      </c>
      <c r="B2" s="325">
        <f>'1. key ratios '!B2</f>
        <v>45107</v>
      </c>
      <c r="C2" s="3"/>
    </row>
    <row r="3" spans="1:7">
      <c r="A3" s="2"/>
      <c r="B3" s="3"/>
      <c r="C3" s="3"/>
    </row>
    <row r="4" spans="1:7" ht="15" customHeight="1" thickBot="1">
      <c r="A4" s="4" t="s">
        <v>97</v>
      </c>
      <c r="B4" s="88" t="s">
        <v>188</v>
      </c>
      <c r="C4" s="19" t="s">
        <v>36</v>
      </c>
    </row>
    <row r="5" spans="1:7" ht="15" customHeight="1">
      <c r="A5" s="165" t="s">
        <v>7</v>
      </c>
      <c r="B5" s="166"/>
      <c r="C5" s="323" t="str">
        <f>INT((MONTH($B$2))/3)&amp;"Q"&amp;"-"&amp;YEAR($B$2)</f>
        <v>2Q-2023</v>
      </c>
      <c r="D5" s="323" t="str">
        <f>IF(INT(MONTH($B$2))=3, "4"&amp;"Q"&amp;"-"&amp;YEAR($B$2)-1, IF(INT(MONTH($B$2))=6, "1"&amp;"Q"&amp;"-"&amp;YEAR($B$2), IF(INT(MONTH($B$2))=9, "2"&amp;"Q"&amp;"-"&amp;YEAR($B$2),IF(INT(MONTH($B$2))=12, "3"&amp;"Q"&amp;"-"&amp;YEAR($B$2), 0))))</f>
        <v>1Q-2023</v>
      </c>
      <c r="E5" s="323" t="str">
        <f>IF(INT(MONTH($B$2))=3, "3"&amp;"Q"&amp;"-"&amp;YEAR($B$2)-1, IF(INT(MONTH($B$2))=6, "4"&amp;"Q"&amp;"-"&amp;YEAR($B$2)-1, IF(INT(MONTH($B$2))=9, "1"&amp;"Q"&amp;"-"&amp;YEAR($B$2),IF(INT(MONTH($B$2))=12, "2"&amp;"Q"&amp;"-"&amp;YEAR($B$2), 0))))</f>
        <v>4Q-2022</v>
      </c>
      <c r="F5" s="323" t="str">
        <f>IF(INT(MONTH($B$2))=3, "2"&amp;"Q"&amp;"-"&amp;YEAR($B$2)-1, IF(INT(MONTH($B$2))=6, "3"&amp;"Q"&amp;"-"&amp;YEAR($B$2)-1, IF(INT(MONTH($B$2))=9, "4"&amp;"Q"&amp;"-"&amp;YEAR($B$2)-1,IF(INT(MONTH($B$2))=12, "1"&amp;"Q"&amp;"-"&amp;YEAR($B$2), 0))))</f>
        <v>3Q-2022</v>
      </c>
      <c r="G5" s="324" t="str">
        <f>IF(INT(MONTH($B$2))=3, "1"&amp;"Q"&amp;"-"&amp;YEAR($B$2)-1, IF(INT(MONTH($B$2))=6, "2"&amp;"Q"&amp;"-"&amp;YEAR($B$2)-1, IF(INT(MONTH($B$2))=9, "3"&amp;"Q"&amp;"-"&amp;YEAR($B$2)-1,IF(INT(MONTH($B$2))=12, "4"&amp;"Q"&amp;"-"&amp;YEAR($B$2)-1, 0))))</f>
        <v>2Q-2022</v>
      </c>
    </row>
    <row r="6" spans="1:7" ht="15" customHeight="1">
      <c r="A6" s="20">
        <v>1</v>
      </c>
      <c r="B6" s="250" t="s">
        <v>192</v>
      </c>
      <c r="C6" s="317">
        <f>C7+C9+C10</f>
        <v>1513603449.19348</v>
      </c>
      <c r="D6" s="318">
        <f>D7+D9+D10</f>
        <v>1457145175.4120243</v>
      </c>
      <c r="E6" s="252">
        <f t="shared" ref="E6:G6" si="0">E7+E9+E10</f>
        <v>1494733348.371649</v>
      </c>
      <c r="F6" s="317">
        <f t="shared" si="0"/>
        <v>1437590936.8360705</v>
      </c>
      <c r="G6" s="320">
        <f t="shared" si="0"/>
        <v>1353990577.8332648</v>
      </c>
    </row>
    <row r="7" spans="1:7" ht="15" customHeight="1">
      <c r="A7" s="20">
        <v>1.1000000000000001</v>
      </c>
      <c r="B7" s="250" t="s">
        <v>358</v>
      </c>
      <c r="C7" s="588">
        <v>1493803420.6659799</v>
      </c>
      <c r="D7" s="589">
        <v>1438725774.1332741</v>
      </c>
      <c r="E7" s="588">
        <v>1475242645.1091492</v>
      </c>
      <c r="F7" s="588">
        <v>1423485487.8448205</v>
      </c>
      <c r="G7" s="321">
        <v>1344016187.4295149</v>
      </c>
    </row>
    <row r="8" spans="1:7">
      <c r="A8" s="20" t="s">
        <v>15</v>
      </c>
      <c r="B8" s="250" t="s">
        <v>96</v>
      </c>
      <c r="C8" s="588"/>
      <c r="D8" s="589"/>
      <c r="E8" s="588"/>
      <c r="F8" s="588"/>
      <c r="G8" s="321"/>
    </row>
    <row r="9" spans="1:7" ht="15" customHeight="1">
      <c r="A9" s="20">
        <v>1.2</v>
      </c>
      <c r="B9" s="251" t="s">
        <v>95</v>
      </c>
      <c r="C9" s="588">
        <v>16187572.1175</v>
      </c>
      <c r="D9" s="589">
        <v>14885125.138750002</v>
      </c>
      <c r="E9" s="588">
        <v>16071362.142499998</v>
      </c>
      <c r="F9" s="588">
        <v>13821928.991249997</v>
      </c>
      <c r="G9" s="321">
        <v>9681500.4037500005</v>
      </c>
    </row>
    <row r="10" spans="1:7" ht="15" customHeight="1">
      <c r="A10" s="20">
        <v>1.3</v>
      </c>
      <c r="B10" s="250" t="s">
        <v>29</v>
      </c>
      <c r="C10" s="588">
        <v>3612456.41</v>
      </c>
      <c r="D10" s="589">
        <v>3534276.14</v>
      </c>
      <c r="E10" s="588">
        <v>3419341.12</v>
      </c>
      <c r="F10" s="588">
        <v>283520</v>
      </c>
      <c r="G10" s="321">
        <v>292890</v>
      </c>
    </row>
    <row r="11" spans="1:7" ht="15" customHeight="1">
      <c r="A11" s="20">
        <v>2</v>
      </c>
      <c r="B11" s="250" t="s">
        <v>189</v>
      </c>
      <c r="C11" s="588">
        <v>680131.54784977494</v>
      </c>
      <c r="D11" s="589">
        <v>396149</v>
      </c>
      <c r="E11" s="588">
        <v>531909.49999903305</v>
      </c>
      <c r="F11" s="588">
        <v>2444963.1704999991</v>
      </c>
      <c r="G11" s="321">
        <v>2444963.1704999991</v>
      </c>
    </row>
    <row r="12" spans="1:7" ht="15" customHeight="1">
      <c r="A12" s="20">
        <v>3</v>
      </c>
      <c r="B12" s="250" t="s">
        <v>190</v>
      </c>
      <c r="C12" s="588">
        <v>435833167.47878599</v>
      </c>
      <c r="D12" s="589">
        <v>435833167.47878599</v>
      </c>
      <c r="E12" s="588">
        <v>435833167.47878599</v>
      </c>
      <c r="F12" s="588">
        <v>376017293.83332092</v>
      </c>
      <c r="G12" s="321">
        <v>376017293.83332092</v>
      </c>
    </row>
    <row r="13" spans="1:7" ht="15" customHeight="1" thickBot="1">
      <c r="A13" s="22">
        <v>4</v>
      </c>
      <c r="B13" s="23" t="s">
        <v>191</v>
      </c>
      <c r="C13" s="253">
        <f>C6+C11+C12</f>
        <v>1950116748.2201159</v>
      </c>
      <c r="D13" s="319">
        <f>D6+D11+D12</f>
        <v>1893374491.8908103</v>
      </c>
      <c r="E13" s="254">
        <f t="shared" ref="E13:G13" si="1">E6+E11+E12</f>
        <v>1931098425.3504341</v>
      </c>
      <c r="F13" s="253">
        <f t="shared" si="1"/>
        <v>1816053193.8398914</v>
      </c>
      <c r="G13" s="322">
        <f t="shared" si="1"/>
        <v>1732452834.8370857</v>
      </c>
    </row>
    <row r="14" spans="1:7">
      <c r="B14" s="26"/>
    </row>
    <row r="15" spans="1:7" ht="26.4">
      <c r="B15" s="26" t="s">
        <v>359</v>
      </c>
    </row>
    <row r="16" spans="1:7">
      <c r="B16" s="26"/>
    </row>
    <row r="17" s="16" customFormat="1" ht="10.199999999999999"/>
    <row r="18" s="16" customFormat="1" ht="10.199999999999999"/>
    <row r="19" s="16" customFormat="1" ht="10.199999999999999"/>
    <row r="20" s="16" customFormat="1" ht="10.199999999999999"/>
    <row r="21" s="16" customFormat="1" ht="10.199999999999999"/>
    <row r="22" s="16" customFormat="1" ht="10.199999999999999"/>
    <row r="23" s="16" customFormat="1" ht="10.199999999999999"/>
    <row r="24" s="16" customFormat="1" ht="10.199999999999999"/>
    <row r="25" s="16" customFormat="1" ht="10.199999999999999"/>
    <row r="26" s="16" customFormat="1" ht="10.199999999999999"/>
    <row r="27" s="16" customFormat="1" ht="10.199999999999999"/>
    <row r="28" s="16" customFormat="1" ht="10.199999999999999"/>
    <row r="29" s="16" customFormat="1" ht="10.199999999999999"/>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7"/>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8" sqref="C8:C9"/>
    </sheetView>
  </sheetViews>
  <sheetFormatPr defaultColWidth="9.21875" defaultRowHeight="13.8"/>
  <cols>
    <col min="1" max="1" width="9.5546875" style="4" bestFit="1" customWidth="1"/>
    <col min="2" max="2" width="65.5546875" style="4" customWidth="1"/>
    <col min="3" max="3" width="27.5546875" style="4" customWidth="1"/>
    <col min="4" max="16384" width="9.21875" style="5"/>
  </cols>
  <sheetData>
    <row r="1" spans="1:8">
      <c r="A1" s="2" t="s">
        <v>31</v>
      </c>
      <c r="B1" s="3" t="str">
        <f>'Info '!C2</f>
        <v>JSC "CREDOBANK"</v>
      </c>
    </row>
    <row r="2" spans="1:8">
      <c r="A2" s="2" t="s">
        <v>32</v>
      </c>
      <c r="B2" s="325">
        <f>'1. key ratios '!B2</f>
        <v>45107</v>
      </c>
    </row>
    <row r="4" spans="1:8" ht="28.05" customHeight="1" thickBot="1">
      <c r="A4" s="27" t="s">
        <v>42</v>
      </c>
      <c r="B4" s="28" t="s">
        <v>164</v>
      </c>
      <c r="C4" s="29"/>
    </row>
    <row r="5" spans="1:8">
      <c r="A5" s="30"/>
      <c r="B5" s="312" t="s">
        <v>43</v>
      </c>
      <c r="C5" s="313" t="s">
        <v>372</v>
      </c>
    </row>
    <row r="6" spans="1:8">
      <c r="A6" s="31">
        <v>1</v>
      </c>
      <c r="B6" s="32" t="s">
        <v>712</v>
      </c>
      <c r="C6" s="33" t="s">
        <v>722</v>
      </c>
    </row>
    <row r="7" spans="1:8">
      <c r="A7" s="31">
        <v>2</v>
      </c>
      <c r="B7" s="32" t="s">
        <v>716</v>
      </c>
      <c r="C7" s="33" t="s">
        <v>723</v>
      </c>
    </row>
    <row r="8" spans="1:8">
      <c r="A8" s="31">
        <v>3</v>
      </c>
      <c r="B8" s="32" t="s">
        <v>717</v>
      </c>
      <c r="C8" s="33" t="s">
        <v>723</v>
      </c>
    </row>
    <row r="9" spans="1:8">
      <c r="A9" s="31">
        <v>4</v>
      </c>
      <c r="B9" s="32" t="s">
        <v>718</v>
      </c>
      <c r="C9" s="33" t="s">
        <v>723</v>
      </c>
    </row>
    <row r="10" spans="1:8">
      <c r="A10" s="31">
        <v>5</v>
      </c>
      <c r="B10" s="32" t="s">
        <v>719</v>
      </c>
      <c r="C10" s="33" t="s">
        <v>721</v>
      </c>
    </row>
    <row r="11" spans="1:8">
      <c r="A11" s="31">
        <v>6</v>
      </c>
      <c r="B11" s="32" t="s">
        <v>720</v>
      </c>
      <c r="C11" s="33" t="s">
        <v>721</v>
      </c>
    </row>
    <row r="12" spans="1:8">
      <c r="A12" s="31">
        <v>7</v>
      </c>
      <c r="B12" s="32"/>
      <c r="C12" s="33"/>
      <c r="H12" s="34"/>
    </row>
    <row r="13" spans="1:8">
      <c r="A13" s="31">
        <v>8</v>
      </c>
      <c r="B13" s="32"/>
      <c r="C13" s="33"/>
    </row>
    <row r="14" spans="1:8">
      <c r="A14" s="31">
        <v>9</v>
      </c>
      <c r="B14" s="32"/>
      <c r="C14" s="33"/>
    </row>
    <row r="15" spans="1:8">
      <c r="A15" s="31">
        <v>10</v>
      </c>
      <c r="B15" s="32"/>
      <c r="C15" s="33"/>
    </row>
    <row r="16" spans="1:8">
      <c r="A16" s="31"/>
      <c r="B16" s="314"/>
      <c r="C16" s="315"/>
    </row>
    <row r="17" spans="1:3" ht="26.4">
      <c r="A17" s="31"/>
      <c r="B17" s="147" t="s">
        <v>44</v>
      </c>
      <c r="C17" s="316" t="s">
        <v>373</v>
      </c>
    </row>
    <row r="18" spans="1:3">
      <c r="A18" s="31">
        <v>1</v>
      </c>
      <c r="B18" s="32" t="s">
        <v>714</v>
      </c>
      <c r="C18" s="35" t="s">
        <v>724</v>
      </c>
    </row>
    <row r="19" spans="1:3">
      <c r="A19" s="31">
        <v>2</v>
      </c>
      <c r="B19" s="32" t="s">
        <v>725</v>
      </c>
      <c r="C19" s="35" t="s">
        <v>726</v>
      </c>
    </row>
    <row r="20" spans="1:3">
      <c r="A20" s="31">
        <v>3</v>
      </c>
      <c r="B20" s="32" t="s">
        <v>727</v>
      </c>
      <c r="C20" s="35" t="s">
        <v>728</v>
      </c>
    </row>
    <row r="21" spans="1:3">
      <c r="A21" s="31">
        <v>4</v>
      </c>
      <c r="B21" s="32" t="s">
        <v>729</v>
      </c>
      <c r="C21" s="35" t="s">
        <v>730</v>
      </c>
    </row>
    <row r="22" spans="1:3">
      <c r="A22" s="31">
        <v>5</v>
      </c>
      <c r="B22" s="32" t="s">
        <v>731</v>
      </c>
      <c r="C22" s="35" t="s">
        <v>732</v>
      </c>
    </row>
    <row r="23" spans="1:3">
      <c r="A23" s="31">
        <v>6</v>
      </c>
      <c r="B23" s="32" t="s">
        <v>733</v>
      </c>
      <c r="C23" s="35" t="s">
        <v>734</v>
      </c>
    </row>
    <row r="24" spans="1:3">
      <c r="A24" s="31">
        <v>7</v>
      </c>
      <c r="B24" s="32"/>
      <c r="C24" s="35"/>
    </row>
    <row r="25" spans="1:3">
      <c r="A25" s="31">
        <v>8</v>
      </c>
      <c r="B25" s="32"/>
      <c r="C25" s="35"/>
    </row>
    <row r="26" spans="1:3">
      <c r="A26" s="31">
        <v>9</v>
      </c>
      <c r="B26" s="32"/>
      <c r="C26" s="35"/>
    </row>
    <row r="27" spans="1:3" ht="15.75" customHeight="1">
      <c r="A27" s="31">
        <v>10</v>
      </c>
      <c r="B27" s="32"/>
      <c r="C27" s="36"/>
    </row>
    <row r="28" spans="1:3" ht="15.75" customHeight="1">
      <c r="A28" s="31"/>
      <c r="B28" s="32"/>
      <c r="C28" s="36"/>
    </row>
    <row r="29" spans="1:3" ht="30" customHeight="1">
      <c r="A29" s="31"/>
      <c r="B29" s="727" t="s">
        <v>45</v>
      </c>
      <c r="C29" s="728"/>
    </row>
    <row r="30" spans="1:3">
      <c r="A30" s="31">
        <v>1</v>
      </c>
      <c r="B30" s="32" t="s">
        <v>735</v>
      </c>
      <c r="C30" s="594">
        <v>0.50868224259580042</v>
      </c>
    </row>
    <row r="31" spans="1:3">
      <c r="A31" s="31">
        <v>2</v>
      </c>
      <c r="B31" s="590" t="s">
        <v>736</v>
      </c>
      <c r="C31" s="594">
        <v>8.3653724280704722E-2</v>
      </c>
    </row>
    <row r="32" spans="1:3">
      <c r="A32" s="31">
        <v>3</v>
      </c>
      <c r="B32" s="590" t="s">
        <v>737</v>
      </c>
      <c r="C32" s="594">
        <v>8.3653724280704722E-2</v>
      </c>
    </row>
    <row r="33" spans="1:3">
      <c r="A33" s="31">
        <v>4</v>
      </c>
      <c r="B33" s="590" t="s">
        <v>738</v>
      </c>
      <c r="C33" s="594">
        <v>7.8921796442604247E-2</v>
      </c>
    </row>
    <row r="34" spans="1:3" ht="26.4">
      <c r="A34" s="31">
        <v>5</v>
      </c>
      <c r="B34" s="590" t="s">
        <v>739</v>
      </c>
      <c r="C34" s="594">
        <v>7.4274367315898426E-2</v>
      </c>
    </row>
    <row r="35" spans="1:3" ht="26.4">
      <c r="A35" s="31">
        <v>6</v>
      </c>
      <c r="B35" s="590" t="s">
        <v>740</v>
      </c>
      <c r="C35" s="594">
        <v>1.5801259030799781E-2</v>
      </c>
    </row>
    <row r="36" spans="1:3" ht="36.6" customHeight="1">
      <c r="A36" s="31">
        <v>7</v>
      </c>
      <c r="B36" s="32" t="s">
        <v>741</v>
      </c>
      <c r="C36" s="594">
        <v>0.14871773205458616</v>
      </c>
    </row>
    <row r="37" spans="1:3" ht="15.75" customHeight="1">
      <c r="A37" s="31"/>
      <c r="B37" s="590"/>
      <c r="C37" s="591"/>
    </row>
    <row r="38" spans="1:3" ht="15.75" customHeight="1">
      <c r="A38" s="31"/>
      <c r="B38" s="590"/>
      <c r="C38" s="591"/>
    </row>
    <row r="39" spans="1:3" ht="29.25" customHeight="1">
      <c r="A39" s="31"/>
      <c r="B39" s="727" t="s">
        <v>46</v>
      </c>
      <c r="C39" s="728"/>
    </row>
    <row r="40" spans="1:3">
      <c r="A40" s="31">
        <v>1</v>
      </c>
      <c r="B40" s="32" t="s">
        <v>742</v>
      </c>
      <c r="C40" s="594">
        <v>6.0385566840000002E-2</v>
      </c>
    </row>
    <row r="41" spans="1:3">
      <c r="A41" s="592">
        <v>2</v>
      </c>
      <c r="B41" s="593" t="s">
        <v>743</v>
      </c>
      <c r="C41" s="595">
        <v>6.0385566840000002E-2</v>
      </c>
    </row>
    <row r="42" spans="1:3">
      <c r="A42" s="31">
        <v>3</v>
      </c>
      <c r="B42" s="593" t="s">
        <v>744</v>
      </c>
      <c r="C42" s="595">
        <v>7.6018378560000016E-2</v>
      </c>
    </row>
    <row r="43" spans="1:3">
      <c r="A43" s="592">
        <v>4</v>
      </c>
      <c r="B43" s="593" t="s">
        <v>745</v>
      </c>
      <c r="C43" s="595">
        <v>6.4932365020000007E-2</v>
      </c>
    </row>
    <row r="44" spans="1:3">
      <c r="A44" s="31">
        <v>5</v>
      </c>
      <c r="B44" s="593" t="s">
        <v>746</v>
      </c>
      <c r="C44" s="595">
        <v>0.12143527274</v>
      </c>
    </row>
    <row r="45" spans="1:3">
      <c r="A45" s="592">
        <v>6</v>
      </c>
      <c r="B45" s="593" t="s">
        <v>747</v>
      </c>
      <c r="C45" s="595">
        <v>7.2861163643999999E-2</v>
      </c>
    </row>
    <row r="46" spans="1:3">
      <c r="A46" s="31">
        <v>7</v>
      </c>
      <c r="B46" s="593" t="s">
        <v>748</v>
      </c>
      <c r="C46" s="595">
        <v>5.726922202000001E-2</v>
      </c>
    </row>
    <row r="47" spans="1:3" ht="14.4" thickBot="1">
      <c r="A47" s="592">
        <v>8</v>
      </c>
      <c r="B47" s="37" t="s">
        <v>749</v>
      </c>
      <c r="C47" s="596">
        <v>0.11055585160427807</v>
      </c>
    </row>
  </sheetData>
  <mergeCells count="2">
    <mergeCell ref="B39:C39"/>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13" activePane="bottomRight" state="frozen"/>
      <selection activeCell="B61" sqref="B61"/>
      <selection pane="topRight" activeCell="B61" sqref="B61"/>
      <selection pane="bottomLeft" activeCell="B61" sqref="B61"/>
      <selection pane="bottomRight" activeCell="C34" sqref="C34"/>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5" t="s">
        <v>31</v>
      </c>
      <c r="B1" s="3" t="str">
        <f>'Info '!C2</f>
        <v>JSC "CREDOBANK"</v>
      </c>
    </row>
    <row r="2" spans="1:5" s="2" customFormat="1" ht="15.75" customHeight="1">
      <c r="A2" s="25" t="s">
        <v>32</v>
      </c>
      <c r="B2" s="325">
        <f>'1. key ratios '!B2</f>
        <v>45107</v>
      </c>
    </row>
    <row r="3" spans="1:5" s="2" customFormat="1" ht="15.75" customHeight="1">
      <c r="A3" s="25"/>
    </row>
    <row r="4" spans="1:5" s="2" customFormat="1" ht="15.75" customHeight="1" thickBot="1">
      <c r="A4" s="201" t="s">
        <v>100</v>
      </c>
      <c r="B4" s="733" t="s">
        <v>226</v>
      </c>
      <c r="C4" s="734"/>
      <c r="D4" s="734"/>
      <c r="E4" s="734"/>
    </row>
    <row r="5" spans="1:5" s="41" customFormat="1" ht="17.55" customHeight="1">
      <c r="A5" s="150"/>
      <c r="B5" s="151"/>
      <c r="C5" s="39" t="s">
        <v>0</v>
      </c>
      <c r="D5" s="39" t="s">
        <v>1</v>
      </c>
      <c r="E5" s="40" t="s">
        <v>2</v>
      </c>
    </row>
    <row r="6" spans="1:5" ht="14.55" customHeight="1">
      <c r="A6" s="105"/>
      <c r="B6" s="729" t="s">
        <v>233</v>
      </c>
      <c r="C6" s="729" t="s">
        <v>661</v>
      </c>
      <c r="D6" s="731" t="s">
        <v>99</v>
      </c>
      <c r="E6" s="732"/>
    </row>
    <row r="7" spans="1:5" ht="99.6" customHeight="1">
      <c r="A7" s="105"/>
      <c r="B7" s="730"/>
      <c r="C7" s="729"/>
      <c r="D7" s="236" t="s">
        <v>98</v>
      </c>
      <c r="E7" s="237" t="s">
        <v>234</v>
      </c>
    </row>
    <row r="8" spans="1:5" ht="20.399999999999999">
      <c r="A8" s="378">
        <v>1</v>
      </c>
      <c r="B8" s="379" t="s">
        <v>562</v>
      </c>
      <c r="C8" s="697">
        <f>SUM(C9:C11)</f>
        <v>299636912.65000004</v>
      </c>
      <c r="D8" s="597">
        <f t="shared" ref="D8:E8" si="0">SUM(D9:D11)</f>
        <v>0</v>
      </c>
      <c r="E8" s="697">
        <f t="shared" si="0"/>
        <v>299636912.65000004</v>
      </c>
    </row>
    <row r="9" spans="1:5" ht="14.4">
      <c r="A9" s="378">
        <v>1.1000000000000001</v>
      </c>
      <c r="B9" s="380" t="s">
        <v>563</v>
      </c>
      <c r="C9" s="597">
        <v>77426307.310000002</v>
      </c>
      <c r="D9" s="597"/>
      <c r="E9" s="597">
        <f>C9-D9</f>
        <v>77426307.310000002</v>
      </c>
    </row>
    <row r="10" spans="1:5" ht="14.4">
      <c r="A10" s="378">
        <v>1.2</v>
      </c>
      <c r="B10" s="380" t="s">
        <v>564</v>
      </c>
      <c r="C10" s="597">
        <v>119285371.98</v>
      </c>
      <c r="D10" s="597"/>
      <c r="E10" s="597">
        <f t="shared" ref="E10:E36" si="1">C10-D10</f>
        <v>119285371.98</v>
      </c>
    </row>
    <row r="11" spans="1:5" ht="14.4">
      <c r="A11" s="378">
        <v>1.3</v>
      </c>
      <c r="B11" s="380" t="s">
        <v>565</v>
      </c>
      <c r="C11" s="597">
        <v>102925233.36</v>
      </c>
      <c r="D11" s="597"/>
      <c r="E11" s="597">
        <f t="shared" si="1"/>
        <v>102925233.36</v>
      </c>
    </row>
    <row r="12" spans="1:5" ht="14.4">
      <c r="A12" s="378">
        <v>2</v>
      </c>
      <c r="B12" s="381" t="s">
        <v>566</v>
      </c>
      <c r="C12" s="597"/>
      <c r="D12" s="597"/>
      <c r="E12" s="597">
        <f t="shared" si="1"/>
        <v>0</v>
      </c>
    </row>
    <row r="13" spans="1:5" ht="14.4">
      <c r="A13" s="378">
        <v>2.1</v>
      </c>
      <c r="B13" s="382" t="s">
        <v>567</v>
      </c>
      <c r="C13" s="597"/>
      <c r="D13" s="597"/>
      <c r="E13" s="597">
        <f t="shared" si="1"/>
        <v>0</v>
      </c>
    </row>
    <row r="14" spans="1:5" ht="20.399999999999999">
      <c r="A14" s="378">
        <v>3</v>
      </c>
      <c r="B14" s="383" t="s">
        <v>568</v>
      </c>
      <c r="C14" s="597">
        <v>698316.45</v>
      </c>
      <c r="D14" s="597"/>
      <c r="E14" s="597">
        <f t="shared" si="1"/>
        <v>698316.45</v>
      </c>
    </row>
    <row r="15" spans="1:5" ht="14.4">
      <c r="A15" s="378">
        <v>4</v>
      </c>
      <c r="B15" s="384" t="s">
        <v>569</v>
      </c>
      <c r="C15" s="597"/>
      <c r="D15" s="597"/>
      <c r="E15" s="597">
        <f t="shared" si="1"/>
        <v>0</v>
      </c>
    </row>
    <row r="16" spans="1:5" ht="20.399999999999999">
      <c r="A16" s="378">
        <v>5</v>
      </c>
      <c r="B16" s="385" t="s">
        <v>570</v>
      </c>
      <c r="C16" s="597">
        <f>SUM(C17:C19)</f>
        <v>0</v>
      </c>
      <c r="D16" s="597">
        <f t="shared" ref="D16" si="2">SUM(D17:D19)</f>
        <v>0</v>
      </c>
      <c r="E16" s="597">
        <f t="shared" si="1"/>
        <v>0</v>
      </c>
    </row>
    <row r="17" spans="1:5" ht="14.4">
      <c r="A17" s="378">
        <v>5.0999999999999996</v>
      </c>
      <c r="B17" s="386" t="s">
        <v>571</v>
      </c>
      <c r="C17" s="597"/>
      <c r="D17" s="597"/>
      <c r="E17" s="597">
        <f t="shared" si="1"/>
        <v>0</v>
      </c>
    </row>
    <row r="18" spans="1:5" ht="14.4">
      <c r="A18" s="378">
        <v>5.2</v>
      </c>
      <c r="B18" s="386" t="s">
        <v>572</v>
      </c>
      <c r="C18" s="597"/>
      <c r="D18" s="597"/>
      <c r="E18" s="597">
        <f t="shared" si="1"/>
        <v>0</v>
      </c>
    </row>
    <row r="19" spans="1:5" ht="14.4">
      <c r="A19" s="378">
        <v>5.3</v>
      </c>
      <c r="B19" s="387" t="s">
        <v>573</v>
      </c>
      <c r="C19" s="597"/>
      <c r="D19" s="597"/>
      <c r="E19" s="597">
        <f t="shared" si="1"/>
        <v>0</v>
      </c>
    </row>
    <row r="20" spans="1:5" ht="14.4">
      <c r="A20" s="378">
        <v>6</v>
      </c>
      <c r="B20" s="383" t="s">
        <v>574</v>
      </c>
      <c r="C20" s="697">
        <f>SUM(C21:C22)</f>
        <v>1887467489.6987078</v>
      </c>
      <c r="D20" s="597">
        <f t="shared" ref="D20" si="3">SUM(D21:D22)</f>
        <v>0</v>
      </c>
      <c r="E20" s="597">
        <f t="shared" si="1"/>
        <v>1887467489.6987078</v>
      </c>
    </row>
    <row r="21" spans="1:5" ht="14.4">
      <c r="A21" s="378">
        <v>6.1</v>
      </c>
      <c r="B21" s="386" t="s">
        <v>572</v>
      </c>
      <c r="C21" s="598">
        <v>48863928.109999999</v>
      </c>
      <c r="D21" s="598"/>
      <c r="E21" s="597">
        <f t="shared" si="1"/>
        <v>48863928.109999999</v>
      </c>
    </row>
    <row r="22" spans="1:5" ht="14.4">
      <c r="A22" s="378">
        <v>6.2</v>
      </c>
      <c r="B22" s="387" t="s">
        <v>573</v>
      </c>
      <c r="C22" s="598">
        <v>1838603561.5887079</v>
      </c>
      <c r="D22" s="598"/>
      <c r="E22" s="597">
        <f t="shared" si="1"/>
        <v>1838603561.5887079</v>
      </c>
    </row>
    <row r="23" spans="1:5" ht="14.4">
      <c r="A23" s="378">
        <v>7</v>
      </c>
      <c r="B23" s="381" t="s">
        <v>575</v>
      </c>
      <c r="C23" s="598"/>
      <c r="D23" s="598"/>
      <c r="E23" s="597">
        <f t="shared" si="1"/>
        <v>0</v>
      </c>
    </row>
    <row r="24" spans="1:5" ht="20.399999999999999">
      <c r="A24" s="378">
        <v>8</v>
      </c>
      <c r="B24" s="388" t="s">
        <v>576</v>
      </c>
      <c r="C24" s="598"/>
      <c r="D24" s="598"/>
      <c r="E24" s="597">
        <f t="shared" si="1"/>
        <v>0</v>
      </c>
    </row>
    <row r="25" spans="1:5" ht="14.4">
      <c r="A25" s="378">
        <v>9</v>
      </c>
      <c r="B25" s="384" t="s">
        <v>577</v>
      </c>
      <c r="C25" s="598">
        <f>SUM(C26:C27)</f>
        <v>38702281.240000002</v>
      </c>
      <c r="D25" s="598">
        <f t="shared" ref="D25" si="4">SUM(D26:D27)</f>
        <v>0</v>
      </c>
      <c r="E25" s="597">
        <f t="shared" si="1"/>
        <v>38702281.240000002</v>
      </c>
    </row>
    <row r="26" spans="1:5" ht="14.4">
      <c r="A26" s="378">
        <v>9.1</v>
      </c>
      <c r="B26" s="386" t="s">
        <v>578</v>
      </c>
      <c r="C26" s="598">
        <v>38702281.240000002</v>
      </c>
      <c r="D26" s="598"/>
      <c r="E26" s="597">
        <f t="shared" si="1"/>
        <v>38702281.240000002</v>
      </c>
    </row>
    <row r="27" spans="1:5" ht="14.4">
      <c r="A27" s="378">
        <v>9.1999999999999993</v>
      </c>
      <c r="B27" s="386" t="s">
        <v>579</v>
      </c>
      <c r="C27" s="598"/>
      <c r="D27" s="598"/>
      <c r="E27" s="597">
        <f t="shared" si="1"/>
        <v>0</v>
      </c>
    </row>
    <row r="28" spans="1:5" ht="14.4">
      <c r="A28" s="378">
        <v>10</v>
      </c>
      <c r="B28" s="384" t="s">
        <v>580</v>
      </c>
      <c r="C28" s="598">
        <f>SUM(C29:C30)</f>
        <v>18857962.90000001</v>
      </c>
      <c r="D28" s="698">
        <f t="shared" ref="D28" si="5">SUM(D29:D30)</f>
        <v>18857962.90000001</v>
      </c>
      <c r="E28" s="597">
        <f t="shared" si="1"/>
        <v>0</v>
      </c>
    </row>
    <row r="29" spans="1:5" ht="14.4">
      <c r="A29" s="378">
        <v>10.1</v>
      </c>
      <c r="B29" s="386" t="s">
        <v>581</v>
      </c>
      <c r="C29" s="598"/>
      <c r="D29" s="598"/>
      <c r="E29" s="597">
        <f t="shared" si="1"/>
        <v>0</v>
      </c>
    </row>
    <row r="30" spans="1:5" ht="14.4">
      <c r="A30" s="378">
        <v>10.199999999999999</v>
      </c>
      <c r="B30" s="386" t="s">
        <v>582</v>
      </c>
      <c r="C30" s="598">
        <v>18857962.90000001</v>
      </c>
      <c r="D30" s="598">
        <v>18857962.90000001</v>
      </c>
      <c r="E30" s="597">
        <f t="shared" si="1"/>
        <v>0</v>
      </c>
    </row>
    <row r="31" spans="1:5" ht="14.4">
      <c r="A31" s="378">
        <v>11</v>
      </c>
      <c r="B31" s="384" t="s">
        <v>583</v>
      </c>
      <c r="C31" s="698">
        <f>SUM(C32:C33)</f>
        <v>1116264.32</v>
      </c>
      <c r="D31" s="598">
        <f t="shared" ref="D31" si="6">SUM(D32:D33)</f>
        <v>0</v>
      </c>
      <c r="E31" s="597">
        <f t="shared" si="1"/>
        <v>1116264.32</v>
      </c>
    </row>
    <row r="32" spans="1:5" ht="14.4">
      <c r="A32" s="378">
        <v>11.1</v>
      </c>
      <c r="B32" s="386" t="s">
        <v>584</v>
      </c>
      <c r="C32" s="598">
        <v>1116264.32</v>
      </c>
      <c r="D32" s="598"/>
      <c r="E32" s="597">
        <f t="shared" si="1"/>
        <v>1116264.32</v>
      </c>
    </row>
    <row r="33" spans="1:7" ht="14.4">
      <c r="A33" s="378">
        <v>11.2</v>
      </c>
      <c r="B33" s="386" t="s">
        <v>585</v>
      </c>
      <c r="C33" s="598"/>
      <c r="D33" s="598"/>
      <c r="E33" s="597">
        <f t="shared" si="1"/>
        <v>0</v>
      </c>
    </row>
    <row r="34" spans="1:7" ht="14.4">
      <c r="A34" s="378">
        <v>13</v>
      </c>
      <c r="B34" s="384" t="s">
        <v>586</v>
      </c>
      <c r="C34" s="598">
        <v>34443741</v>
      </c>
      <c r="D34" s="598"/>
      <c r="E34" s="597">
        <f t="shared" si="1"/>
        <v>34443741</v>
      </c>
    </row>
    <row r="35" spans="1:7" ht="14.4">
      <c r="A35" s="378">
        <v>13.1</v>
      </c>
      <c r="B35" s="389" t="s">
        <v>587</v>
      </c>
      <c r="C35" s="598"/>
      <c r="D35" s="598"/>
      <c r="E35" s="597">
        <f t="shared" si="1"/>
        <v>0</v>
      </c>
    </row>
    <row r="36" spans="1:7" ht="14.4">
      <c r="A36" s="378">
        <v>13.2</v>
      </c>
      <c r="B36" s="389" t="s">
        <v>588</v>
      </c>
      <c r="C36" s="598"/>
      <c r="D36" s="598"/>
      <c r="E36" s="597">
        <f t="shared" si="1"/>
        <v>0</v>
      </c>
    </row>
    <row r="37" spans="1:7" ht="27" thickBot="1">
      <c r="A37" s="108"/>
      <c r="B37" s="202" t="s">
        <v>235</v>
      </c>
      <c r="C37" s="152">
        <f>SUM(C8,C12,C14,C15,C16,C20,C23,C24,C25,C28,C31,C34)</f>
        <v>2280922968.258708</v>
      </c>
      <c r="D37" s="152">
        <f>SUM(D8,D12,D14,D15,D16,D20,D23,D24,D25,D28,D31,D34)</f>
        <v>18857962.90000001</v>
      </c>
      <c r="E37" s="152">
        <f>SUM(E8,E12,E14,E15,E16,E20,E23,E24,E25,E28,E31,E34)</f>
        <v>2262065005.3587079</v>
      </c>
    </row>
    <row r="38" spans="1:7">
      <c r="A38" s="5"/>
      <c r="B38" s="5"/>
      <c r="C38" s="5"/>
      <c r="D38" s="5"/>
      <c r="E38" s="5"/>
    </row>
    <row r="39" spans="1:7">
      <c r="A39" s="5"/>
      <c r="B39" s="5"/>
      <c r="C39" s="5"/>
      <c r="D39" s="5"/>
      <c r="E39" s="5"/>
    </row>
    <row r="41" spans="1:7" s="4" customFormat="1">
      <c r="B41" s="43"/>
      <c r="F41" s="5"/>
      <c r="G41" s="5"/>
    </row>
    <row r="42" spans="1:7" s="4" customFormat="1">
      <c r="B42" s="43"/>
      <c r="F42" s="5"/>
      <c r="G42" s="5"/>
    </row>
    <row r="43" spans="1:7" s="4" customFormat="1">
      <c r="B43" s="43"/>
      <c r="F43" s="5"/>
      <c r="G43" s="5"/>
    </row>
    <row r="44" spans="1:7" s="4" customFormat="1">
      <c r="B44" s="43"/>
      <c r="F44" s="5"/>
      <c r="G44" s="5"/>
    </row>
    <row r="45" spans="1:7" s="4" customFormat="1">
      <c r="B45" s="43"/>
      <c r="F45" s="5"/>
      <c r="G45" s="5"/>
    </row>
    <row r="46" spans="1:7" s="4" customFormat="1">
      <c r="B46" s="43"/>
      <c r="F46" s="5"/>
      <c r="G46" s="5"/>
    </row>
    <row r="47" spans="1:7" s="4" customFormat="1">
      <c r="B47" s="43"/>
      <c r="F47" s="5"/>
      <c r="G47" s="5"/>
    </row>
    <row r="48" spans="1:7" s="4" customFormat="1">
      <c r="B48" s="43"/>
      <c r="F48" s="5"/>
      <c r="G48" s="5"/>
    </row>
    <row r="49" spans="2:7" s="4" customFormat="1">
      <c r="B49" s="43"/>
      <c r="F49" s="5"/>
      <c r="G49" s="5"/>
    </row>
    <row r="50" spans="2:7" s="4" customFormat="1">
      <c r="B50" s="43"/>
      <c r="F50" s="5"/>
      <c r="G50" s="5"/>
    </row>
    <row r="51" spans="2:7" s="4" customFormat="1">
      <c r="B51" s="43"/>
      <c r="F51" s="5"/>
      <c r="G51" s="5"/>
    </row>
    <row r="52" spans="2:7" s="4" customFormat="1">
      <c r="B52" s="43"/>
      <c r="F52" s="5"/>
      <c r="G52" s="5"/>
    </row>
    <row r="53" spans="2:7" s="4" customFormat="1">
      <c r="B53" s="43"/>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9" sqref="C9:C12"/>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31</v>
      </c>
      <c r="B1" s="3" t="str">
        <f>'Info '!C2</f>
        <v>JSC "CREDOBANK"</v>
      </c>
    </row>
    <row r="2" spans="1:6" s="2" customFormat="1" ht="15.75" customHeight="1">
      <c r="A2" s="2" t="s">
        <v>32</v>
      </c>
      <c r="B2" s="325">
        <f>'1. key ratios '!B2</f>
        <v>45107</v>
      </c>
      <c r="C2" s="4"/>
      <c r="D2" s="4"/>
      <c r="E2" s="4"/>
      <c r="F2" s="4"/>
    </row>
    <row r="3" spans="1:6" s="2" customFormat="1" ht="15.75" customHeight="1">
      <c r="C3" s="4"/>
      <c r="D3" s="4"/>
      <c r="E3" s="4"/>
      <c r="F3" s="4"/>
    </row>
    <row r="4" spans="1:6" s="2" customFormat="1" ht="13.8" thickBot="1">
      <c r="A4" s="2" t="s">
        <v>47</v>
      </c>
      <c r="B4" s="203" t="s">
        <v>555</v>
      </c>
      <c r="C4" s="38" t="s">
        <v>36</v>
      </c>
      <c r="D4" s="4"/>
      <c r="E4" s="4"/>
      <c r="F4" s="4"/>
    </row>
    <row r="5" spans="1:6">
      <c r="A5" s="156">
        <v>1</v>
      </c>
      <c r="B5" s="204" t="s">
        <v>557</v>
      </c>
      <c r="C5" s="157">
        <f>'7. LI1 '!E37</f>
        <v>2262065005.3587079</v>
      </c>
    </row>
    <row r="6" spans="1:6">
      <c r="A6" s="44">
        <v>2.1</v>
      </c>
      <c r="B6" s="106" t="s">
        <v>215</v>
      </c>
      <c r="C6" s="97">
        <v>44052871.439999998</v>
      </c>
    </row>
    <row r="7" spans="1:6" s="26" customFormat="1" outlineLevel="1">
      <c r="A7" s="20">
        <v>2.2000000000000002</v>
      </c>
      <c r="B7" s="21" t="s">
        <v>216</v>
      </c>
      <c r="C7" s="158">
        <v>180622820.5</v>
      </c>
    </row>
    <row r="8" spans="1:6" s="26" customFormat="1">
      <c r="A8" s="20">
        <v>3</v>
      </c>
      <c r="B8" s="154" t="s">
        <v>556</v>
      </c>
      <c r="C8" s="159">
        <f>SUM(C5:C7)</f>
        <v>2486740697.298708</v>
      </c>
    </row>
    <row r="9" spans="1:6">
      <c r="A9" s="44">
        <v>4</v>
      </c>
      <c r="B9" s="45" t="s">
        <v>49</v>
      </c>
      <c r="C9" s="97"/>
    </row>
    <row r="10" spans="1:6" s="26" customFormat="1" outlineLevel="1">
      <c r="A10" s="20">
        <v>5.0999999999999996</v>
      </c>
      <c r="B10" s="21" t="s">
        <v>217</v>
      </c>
      <c r="C10" s="158">
        <v>-22961170.449999999</v>
      </c>
    </row>
    <row r="11" spans="1:6" s="26" customFormat="1" outlineLevel="1">
      <c r="A11" s="20">
        <v>5.2</v>
      </c>
      <c r="B11" s="21" t="s">
        <v>218</v>
      </c>
      <c r="C11" s="158">
        <v>-177010364.09</v>
      </c>
    </row>
    <row r="12" spans="1:6" s="26" customFormat="1">
      <c r="A12" s="20">
        <v>6</v>
      </c>
      <c r="B12" s="153" t="s">
        <v>360</v>
      </c>
      <c r="C12" s="158"/>
    </row>
    <row r="13" spans="1:6" s="26" customFormat="1" ht="13.8" thickBot="1">
      <c r="A13" s="22">
        <v>7</v>
      </c>
      <c r="B13" s="155" t="s">
        <v>178</v>
      </c>
      <c r="C13" s="160">
        <f>SUM(C8:C12)</f>
        <v>2286769162.758708</v>
      </c>
    </row>
    <row r="15" spans="1:6" ht="26.4">
      <c r="B15" s="26" t="s">
        <v>361</v>
      </c>
    </row>
    <row r="17" spans="1:2" ht="13.8">
      <c r="A17" s="167"/>
      <c r="B17" s="168"/>
    </row>
    <row r="18" spans="1:2" ht="14.4">
      <c r="A18" s="172"/>
      <c r="B18" s="173"/>
    </row>
    <row r="19" spans="1:2" ht="13.8">
      <c r="A19" s="174"/>
      <c r="B19" s="169"/>
    </row>
    <row r="20" spans="1:2" ht="13.8">
      <c r="A20" s="175"/>
      <c r="B20" s="170"/>
    </row>
    <row r="21" spans="1:2" ht="13.8">
      <c r="A21" s="175"/>
      <c r="B21" s="173"/>
    </row>
    <row r="22" spans="1:2" ht="13.8">
      <c r="A22" s="174"/>
      <c r="B22" s="171"/>
    </row>
    <row r="23" spans="1:2" ht="13.8">
      <c r="A23" s="175"/>
      <c r="B23" s="170"/>
    </row>
    <row r="24" spans="1:2" ht="13.8">
      <c r="A24" s="175"/>
      <c r="B24" s="170"/>
    </row>
    <row r="25" spans="1:2" ht="13.8">
      <c r="A25" s="175"/>
      <c r="B25" s="176"/>
    </row>
    <row r="26" spans="1:2" ht="13.8">
      <c r="A26" s="175"/>
      <c r="B26" s="173"/>
    </row>
    <row r="27" spans="1:2">
      <c r="B27" s="43"/>
    </row>
    <row r="28" spans="1:2">
      <c r="B28" s="43"/>
    </row>
    <row r="29" spans="1:2">
      <c r="B29" s="43"/>
    </row>
    <row r="30" spans="1:2">
      <c r="B30" s="43"/>
    </row>
    <row r="31" spans="1:2">
      <c r="B31" s="43"/>
    </row>
    <row r="32" spans="1:2">
      <c r="B32" s="43"/>
    </row>
    <row r="33" spans="2:2">
      <c r="B33" s="4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ESHWoj02Uu+I9Fw6m+zFVha7RYzLAnDYesrAd6V5zSU=</DigestValue>
    </Reference>
    <Reference Type="http://www.w3.org/2000/09/xmldsig#Object" URI="#idOfficeObject">
      <DigestMethod Algorithm="http://www.w3.org/2001/04/xmlenc#sha256"/>
      <DigestValue>teuNmMmR0XSxqoimis3d9Q5k1NYK92otzc0H9o4NPRk=</DigestValue>
    </Reference>
    <Reference Type="http://uri.etsi.org/01903#SignedProperties" URI="#idSignedProperties">
      <Transforms>
        <Transform Algorithm="http://www.w3.org/TR/2001/REC-xml-c14n-20010315"/>
      </Transforms>
      <DigestMethod Algorithm="http://www.w3.org/2001/04/xmlenc#sha256"/>
      <DigestValue>wE4reyywo9Y6AB/F3asvDgK8Ffn0vtVd5oAt0uSCBRw=</DigestValue>
    </Reference>
  </SignedInfo>
  <SignatureValue>28a43pQbL0ayMkN1Jh2SKzqNwhqqY53Q+oscL+FWXg1lvV73C571/h6PaYon/Zpa1hVgIF7A01qX
ZdV1IpnpkSdQ8IXw+2aTTP7mfyoBAbjB/ZhvcT2FJcj0J5uw1qhkCx1sXv8jESDlxd5024wqXb4Q
wRYJ4YdiolBR4hdXDGWXFzRgFEMPedQwuLzmgBZFmqImr/O+mzX4E6ZXdsAmvO7ZYTjAtFiqBplX
HcWhUA4Qd4+dzYOaAwpJ2rTaOwPPgZIaoNnS/6t8/5Ttz1jxrK1ujgHT9f52cq3dBlhNBiMECXvu
xQx5fqTHI4u40w9cmEL91nXqF/+SH4bYJkzNtw==</SignatureValue>
  <KeyInfo>
    <X509Data>
      <X509Certificate>MIIGRDCCBSygAwIBAgIKKy7S3QADAAI3djANBgkqhkiG9w0BAQsFADBKMRIwEAYKCZImiZPyLGQBGRYCZ2UxEzARBgoJkiaJk/IsZAEZFgNuYmcxHzAdBgNVBAMTFk5CRyBDbGFzcyAyIElOVCBTdWIgQ0EwHhcNMjMwNjE2MDgwNTQ3WhcNMjUwNjE1MDgwNTQ3WjBCMRcwFQYDVQQKEw5KU0MgQ3JlZG8gQmFuazEnMCUGA1UEAxMeQkNEIC0gS29uc3RhbnRpbmUgR2hhbWJhc2hpZHplMIIBIjANBgkqhkiG9w0BAQEFAAOCAQ8AMIIBCgKCAQEA6ySQjPOg9/Hc3sXzEa+Xn08LVLkXyQ8+37IBPE5kJfn0YFTtHGxqxbzj/MZwdyV31c9SCE/kHVWpIRT7MF0kGbgoZNF0pTNYcmhOQU03ebGJ9yyDds8HgYVzoM7e2S8NSNyq2JPsKpyb72FyjHKD7VVBrUJM3WCsC2chjipvYizU9gMwxNzTPz9kT7zn4LuM6TSyrYSYB/oD+ooh0MKP7EE/4oJWz5UoVrmMbZIJc+R7MyabgDD53h7Tzpn+7SI4e65TwEBB/5zDmtuTNW/Inp7OPsoFD05atAPJFkdN1NEF7jfoNAa84UF2kOd5uU46gostlnPN/sqTyaWIX9as3QIDAQABo4IDMjCCAy4wPAYJKwYBBAGCNxUHBC8wLQYlKwYBBAGCNxUI5rJgg431RIaBmQmDuKFKg76EcQSDxJEzhIOIXQIBZAIBIzAdBgNVHSUEFjAUBggrBgEFBQcDAgYIKwYBBQUHAwQwCwYDVR0PBAQDAgeAMCcGCSsGAQQBgjcVCgQaMBgwCgYIKwYBBQUHAwIwCgYIKwYBBQUHAwQwHQYDVR0OBBYEFL/irtUv844KPAED+zVmPWx7bSH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qwWQesdOFPXG0FBpAJfwknFIxKrgyTWXse6yDOtyHX7S7PR7ukyysbO8MMscJiumA7ImwDZ0iOddUffSQFEgiqB04NvklRhElfN4KM+QbucgqDCL2ydHQtO+S6gH5nck01KkQIrRwcy+yItrvImdGaMquD+gMcdarX2zqxHpYfotlfPCbtDyS+cUKBNqU77U5O1stwjKZ41NDwBROc+//hfDWTWI+B+0zXlr2ikHaRmIBXIQhvlmG+YbEB7SIz/EacBWA0HKlm6HeEhqaiZxn3bR1knRZ3FxSqZpOGf/TZp3ZU9PNDDdIpBDgBqDHDHRHFxigo9bMuUIJ4nTSKmA5</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zuaARSUFdluJjfDmPrSD06iAaJenvobm8cOJnUWBzfo=</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9cV1PmbrOkTIFxv4H7v0LHhF6vhx7ymbZdNSfIYZpV0=</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+dDUZwxgGQrd5u9nWfPMAi5lsaQZEm0UkiMmRBvmopo=</DigestValue>
      </Reference>
      <Reference URI="/xl/styles.xml?ContentType=application/vnd.openxmlformats-officedocument.spreadsheetml.styles+xml">
        <DigestMethod Algorithm="http://www.w3.org/2001/04/xmlenc#sha256"/>
        <DigestValue>90QEgQ+kScBNtw5kokvlIOSH/pHj7XH3xaJhpnkWe+Y=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e3uOX+9muo8MmjPzvErinxzzy5vbqhiu4cbE68C59oY=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6cIaspV8kCE+WqtYvwhR/UyiacDG+VNN0Jq245oMu7U=</DigestValue>
      </Reference>
      <Reference URI="/xl/worksheets/sheet10.xml?ContentType=application/vnd.openxmlformats-officedocument.spreadsheetml.worksheet+xml">
        <DigestMethod Algorithm="http://www.w3.org/2001/04/xmlenc#sha256"/>
        <DigestValue>q4KUPZHUbrF57sph9olbXdyZgtdKXsVwWK8vZc3Kj48=</DigestValue>
      </Reference>
      <Reference URI="/xl/worksheets/sheet11.xml?ContentType=application/vnd.openxmlformats-officedocument.spreadsheetml.worksheet+xml">
        <DigestMethod Algorithm="http://www.w3.org/2001/04/xmlenc#sha256"/>
        <DigestValue>fz91xdZaLQFbmjo8Cg7IQta9Q77CplnzqC+Y0tRj5D4=</DigestValue>
      </Reference>
      <Reference URI="/xl/worksheets/sheet12.xml?ContentType=application/vnd.openxmlformats-officedocument.spreadsheetml.worksheet+xml">
        <DigestMethod Algorithm="http://www.w3.org/2001/04/xmlenc#sha256"/>
        <DigestValue>YAq4ppo6N+7yxO3gJXrFaHRntqIYHlz96dkrHR5asEE=</DigestValue>
      </Reference>
      <Reference URI="/xl/worksheets/sheet13.xml?ContentType=application/vnd.openxmlformats-officedocument.spreadsheetml.worksheet+xml">
        <DigestMethod Algorithm="http://www.w3.org/2001/04/xmlenc#sha256"/>
        <DigestValue>mPzZdzoNwwHeWmBrBhXHbmC5UPRFqI/XlyOlUS3mvfs=</DigestValue>
      </Reference>
      <Reference URI="/xl/worksheets/sheet14.xml?ContentType=application/vnd.openxmlformats-officedocument.spreadsheetml.worksheet+xml">
        <DigestMethod Algorithm="http://www.w3.org/2001/04/xmlenc#sha256"/>
        <DigestValue>JKzq0ZyjbGhWoe2jpYQGOOP6K5fKgNtzYYEpGYGUTyA=</DigestValue>
      </Reference>
      <Reference URI="/xl/worksheets/sheet15.xml?ContentType=application/vnd.openxmlformats-officedocument.spreadsheetml.worksheet+xml">
        <DigestMethod Algorithm="http://www.w3.org/2001/04/xmlenc#sha256"/>
        <DigestValue>GFkW23WmDIAGKoZp5JAMNPnqp8in4QNRmvLxlrzMwLk=</DigestValue>
      </Reference>
      <Reference URI="/xl/worksheets/sheet16.xml?ContentType=application/vnd.openxmlformats-officedocument.spreadsheetml.worksheet+xml">
        <DigestMethod Algorithm="http://www.w3.org/2001/04/xmlenc#sha256"/>
        <DigestValue>m1Pq3eb8x+CCO91Yjx2LfUw3bSm4BIXVTRIB7zCrEtI=</DigestValue>
      </Reference>
      <Reference URI="/xl/worksheets/sheet17.xml?ContentType=application/vnd.openxmlformats-officedocument.spreadsheetml.worksheet+xml">
        <DigestMethod Algorithm="http://www.w3.org/2001/04/xmlenc#sha256"/>
        <DigestValue>kCs5t8jBcKd2+AbcJDch8vig1jHNfc88+9Ia2iurrC4=</DigestValue>
      </Reference>
      <Reference URI="/xl/worksheets/sheet18.xml?ContentType=application/vnd.openxmlformats-officedocument.spreadsheetml.worksheet+xml">
        <DigestMethod Algorithm="http://www.w3.org/2001/04/xmlenc#sha256"/>
        <DigestValue>7sT2b9a96nHY160vjTL9ib91tAhkMZ/NGmL8iqG0gLQ=</DigestValue>
      </Reference>
      <Reference URI="/xl/worksheets/sheet19.xml?ContentType=application/vnd.openxmlformats-officedocument.spreadsheetml.worksheet+xml">
        <DigestMethod Algorithm="http://www.w3.org/2001/04/xmlenc#sha256"/>
        <DigestValue>rddgSmB69dnbTSQU+mhX58xUwjwmKAS5lBXMzn4II8k=</DigestValue>
      </Reference>
      <Reference URI="/xl/worksheets/sheet2.xml?ContentType=application/vnd.openxmlformats-officedocument.spreadsheetml.worksheet+xml">
        <DigestMethod Algorithm="http://www.w3.org/2001/04/xmlenc#sha256"/>
        <DigestValue>/8bOGqiYoQ3QCfHNz+UzYrsiNvD0C78SaclteOgE+uc=</DigestValue>
      </Reference>
      <Reference URI="/xl/worksheets/sheet20.xml?ContentType=application/vnd.openxmlformats-officedocument.spreadsheetml.worksheet+xml">
        <DigestMethod Algorithm="http://www.w3.org/2001/04/xmlenc#sha256"/>
        <DigestValue>RWEtzcGqNq+vOCHmSuqowHLJ0StIHmUL85kpAaAk+X4=</DigestValue>
      </Reference>
      <Reference URI="/xl/worksheets/sheet21.xml?ContentType=application/vnd.openxmlformats-officedocument.spreadsheetml.worksheet+xml">
        <DigestMethod Algorithm="http://www.w3.org/2001/04/xmlenc#sha256"/>
        <DigestValue>MxzHKKhVRNEmEvFW8jaHEsH0sw0k+5vT4yAXeh97JY4=</DigestValue>
      </Reference>
      <Reference URI="/xl/worksheets/sheet22.xml?ContentType=application/vnd.openxmlformats-officedocument.spreadsheetml.worksheet+xml">
        <DigestMethod Algorithm="http://www.w3.org/2001/04/xmlenc#sha256"/>
        <DigestValue>vBMkeGUj5XuQEAN4Cziq7kavXhuKQXOmw3aFH2C/q8Y=</DigestValue>
      </Reference>
      <Reference URI="/xl/worksheets/sheet23.xml?ContentType=application/vnd.openxmlformats-officedocument.spreadsheetml.worksheet+xml">
        <DigestMethod Algorithm="http://www.w3.org/2001/04/xmlenc#sha256"/>
        <DigestValue>39IBw3NcqJhTLNmSZ60zreGAfOgI6oiv2+qmIj1Qnj4=</DigestValue>
      </Reference>
      <Reference URI="/xl/worksheets/sheet24.xml?ContentType=application/vnd.openxmlformats-officedocument.spreadsheetml.worksheet+xml">
        <DigestMethod Algorithm="http://www.w3.org/2001/04/xmlenc#sha256"/>
        <DigestValue>Co7uV7n/UGlyAg79u77Hp57riaocUQDCldSl/FDgXKw=</DigestValue>
      </Reference>
      <Reference URI="/xl/worksheets/sheet25.xml?ContentType=application/vnd.openxmlformats-officedocument.spreadsheetml.worksheet+xml">
        <DigestMethod Algorithm="http://www.w3.org/2001/04/xmlenc#sha256"/>
        <DigestValue>lJ+W9ymJdDov95q05ne/GSYUpLmlTrRmk7WE6vAF9lc=</DigestValue>
      </Reference>
      <Reference URI="/xl/worksheets/sheet26.xml?ContentType=application/vnd.openxmlformats-officedocument.spreadsheetml.worksheet+xml">
        <DigestMethod Algorithm="http://www.w3.org/2001/04/xmlenc#sha256"/>
        <DigestValue>jUiUnG0ubds/YXMos/BDKw3D73hwL57+yrDo+YGpp2U=</DigestValue>
      </Reference>
      <Reference URI="/xl/worksheets/sheet27.xml?ContentType=application/vnd.openxmlformats-officedocument.spreadsheetml.worksheet+xml">
        <DigestMethod Algorithm="http://www.w3.org/2001/04/xmlenc#sha256"/>
        <DigestValue>gxg2YerOTEE+OW/lsTWOH8chjkbPR3dNkYsA+bZrrkY=</DigestValue>
      </Reference>
      <Reference URI="/xl/worksheets/sheet28.xml?ContentType=application/vnd.openxmlformats-officedocument.spreadsheetml.worksheet+xml">
        <DigestMethod Algorithm="http://www.w3.org/2001/04/xmlenc#sha256"/>
        <DigestValue>Sng1WbU2Ff+ILjfJ4EwBMsLHA2qjgRx3XGSDxg/bwPA=</DigestValue>
      </Reference>
      <Reference URI="/xl/worksheets/sheet29.xml?ContentType=application/vnd.openxmlformats-officedocument.spreadsheetml.worksheet+xml">
        <DigestMethod Algorithm="http://www.w3.org/2001/04/xmlenc#sha256"/>
        <DigestValue>4HD7ZVyuyIqgyOLKsk+/XIk/7QvM5iyawNOCNmlFK68=</DigestValue>
      </Reference>
      <Reference URI="/xl/worksheets/sheet3.xml?ContentType=application/vnd.openxmlformats-officedocument.spreadsheetml.worksheet+xml">
        <DigestMethod Algorithm="http://www.w3.org/2001/04/xmlenc#sha256"/>
        <DigestValue>QOGeDLK9tsFJZ88LsBHdzKIJZEoK0If6HAeF661HJk4=</DigestValue>
      </Reference>
      <Reference URI="/xl/worksheets/sheet4.xml?ContentType=application/vnd.openxmlformats-officedocument.spreadsheetml.worksheet+xml">
        <DigestMethod Algorithm="http://www.w3.org/2001/04/xmlenc#sha256"/>
        <DigestValue>G9ViWDtYQfhd9sNc50kyzBz3kypa/gpqT597PgdXEmU=</DigestValue>
      </Reference>
      <Reference URI="/xl/worksheets/sheet5.xml?ContentType=application/vnd.openxmlformats-officedocument.spreadsheetml.worksheet+xml">
        <DigestMethod Algorithm="http://www.w3.org/2001/04/xmlenc#sha256"/>
        <DigestValue>KMHAadYezIO3t6OmnDKU265a0XiMzu4OvB4CTw1i37Y=</DigestValue>
      </Reference>
      <Reference URI="/xl/worksheets/sheet6.xml?ContentType=application/vnd.openxmlformats-officedocument.spreadsheetml.worksheet+xml">
        <DigestMethod Algorithm="http://www.w3.org/2001/04/xmlenc#sha256"/>
        <DigestValue>s7ZR9BvxcMp8ssFUqUleBzWdM6Jg0rxJVRrjGPYkyIc=</DigestValue>
      </Reference>
      <Reference URI="/xl/worksheets/sheet7.xml?ContentType=application/vnd.openxmlformats-officedocument.spreadsheetml.worksheet+xml">
        <DigestMethod Algorithm="http://www.w3.org/2001/04/xmlenc#sha256"/>
        <DigestValue>GKymLwNM75+4XcdrVp7CMMZJ+JOMII+APOqQzkbw66c=</DigestValue>
      </Reference>
      <Reference URI="/xl/worksheets/sheet8.xml?ContentType=application/vnd.openxmlformats-officedocument.spreadsheetml.worksheet+xml">
        <DigestMethod Algorithm="http://www.w3.org/2001/04/xmlenc#sha256"/>
        <DigestValue>Lyoq+4YNmJjZLCU8Ub18R5grZ4rxdJ1O0eDkGOhXVOk=</DigestValue>
      </Reference>
      <Reference URI="/xl/worksheets/sheet9.xml?ContentType=application/vnd.openxmlformats-officedocument.spreadsheetml.worksheet+xml">
        <DigestMethod Algorithm="http://www.w3.org/2001/04/xmlenc#sha256"/>
        <DigestValue>Rzd3Mir8oubHkb4Dp5PwbFUwmCB6IxnPA4CJaJYjj1k=</DigestValue>
      </Reference>
    </Manifest>
    <SignatureProperties>
      <SignatureProperty Id="idSignatureTime" Target="#idPackageSignature">
        <mdssi:SignatureTime xmlns:mdssi="http://schemas.openxmlformats.org/package/2006/digital-signature">
          <mdssi:Format>YYYY-MM-DDThh:mm:ssTZD</mdssi:Format>
          <mdssi:Value>2023-12-19T08:57:01Z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2023-12-19T08:57:01Z</xd:SigningTime>
          <xd:SigningCertificate>
            <xd:Cert>
              <xd:CertDigest>
                <DigestMethod Algorithm="http://www.w3.org/2001/04/xmlenc#sha256"/>
                <DigestValue>1hSUnl0NOjl6jE3hV5+Dc2J11ZVMOhetdT0CqbpWONA=</DigestValue>
              </xd:CertDigest>
              <xd:IssuerSerial>
                <X509IssuerName>CN=NBG Class 2 INT Sub CA, DC=nbg, DC=ge</X509IssuerName>
                <X509SerialNumber>203925503291516086531958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0u9Ds5RG17v9sEFdN9jNupRFJDKll69kOWQ6xFNo2YM=</DigestValue>
    </Reference>
    <Reference Type="http://www.w3.org/2000/09/xmldsig#Object" URI="#idOfficeObject">
      <DigestMethod Algorithm="http://www.w3.org/2001/04/xmlenc#sha256"/>
      <DigestValue>0CbMmj85seUnz8pYhDj/LZysvzNNmNAlOusJP4WlFjs=</DigestValue>
    </Reference>
    <Reference Type="http://uri.etsi.org/01903#SignedProperties" URI="#idSignedProperties">
      <Transforms>
        <Transform Algorithm="http://www.w3.org/TR/2001/REC-xml-c14n-20010315"/>
      </Transforms>
      <DigestMethod Algorithm="http://www.w3.org/2001/04/xmlenc#sha256"/>
      <DigestValue>ndch2uObOUE+5iXNFfH/WkLslqsmslUG+OZz1iVCASA=</DigestValue>
    </Reference>
  </SignedInfo>
  <SignatureValue>LpTusm3qNBiWJQJ+TgjIIJx4/n1lzEIGHTxKy/n6HQZTKNCEmVnakaPw3Xe+tymgFyfKdcRKqrY3
E0wkiufGH42AF13qRcKOtVloMbYjQ+QOdDWgSpErTFjRcf6gSc0Lv9Ryta7HySfG/SY2LVBzHYCX
9A4pviswg++GVProE8yw5fyYwP6ybh2cl1II8vIxF7W5pcecX3V6VX7cX97K7qBdgkKuUYHc7Lm4
qmSqWb+9TDFWVOEvbMq0OmIDBS+f2mvUMDLBxF5P7DNUuHXOEHPB+B2YYBTKvdjlglSBa+mdhQF+
GPVcKFW86egAbx6zvGYwIRliM7pisVih2siUsQ==</SignatureValue>
  <KeyInfo>
    <X509Data>
      <X509Certificate>MIIGPjCCBSagAwIBAgIKHZPGBwADAAI4wTANBgkqhkiG9w0BAQsFADBKMRIwEAYKCZImiZPyLGQBGRYCZ2UxEzARBgoJkiaJk/IsZAEZFgNuYmcxHzAdBgNVBAMTFk5CRyBDbGFzcyAyIElOVCBTdWIgQ0EwHhcNMjMwNzA1MTAzOTU0WhcNMjUwNzA0MTAzOTU0WjA8MRcwFQYDVQQKEw5KU0MgQ3JlZG8gQmFuazEhMB8GA1UEAxMYQkNEIC0gRXJla2xlIFphdGlhc2h2aWxpMIIBIjANBgkqhkiG9w0BAQEFAAOCAQ8AMIIBCgKCAQEA7bW9DMX0iR7EsqQh8o9bvXr+aEeGQUtJMsEIJWF0lP9zeqiRwv2angsCuy2ME7xPbjJFDEVTITO6/38aRqyaSOb1TdfSqzLgahOa3jgsXhSQlHozTrmWwmzHCWTSuIUol71hGTNGa9T7ejbvDVtgwlMpcDA0NZsi4qZ/oHdiJOTfZ7oz3oHxZABAXYTJZ0ZZ2BXUI+4Kc5f+kJzK+9UhM9Tsy2ooqi+QK4wlHw67pyARFbRd3XV8/i9T/MyANYm0QM0a+t3RH9wRS1bLeBRBA8NoHiX9bap7unfJp6ZliqliavAW94bzNLN4cQ+00HdVArGg/oGjWf7lCY9387WtJwIDAQABo4IDMjCCAy4wPAYJKwYBBAGCNxUHBC8wLQYlKwYBBAGCNxUI5rJgg431RIaBmQmDuKFKg76EcQSDxJEzhIOIXQIBZAIBIzAdBgNVHSUEFjAUBggrBgEFBQcDAgYIKwYBBQUHAwQwCwYDVR0PBAQDAgeAMCcGCSsGAQQBgjcVCgQaMBgwCgYIKwYBBQUHAwIwCgYIKwYBBQUHAwQwHQYDVR0OBBYEFHSZPQMxSyXM6nGWbGTe4BJpWb+j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dPUuhza/HiypApCKI1cfD7a+gExMdmv2a/4NS0lQi07qAlHGcXd5Y76MGOj4UCe98Ge9/hFoe0V9jgaGOdv/1Y5F88jdCaQLVcVhFlCk7lfBcQCmjTg7DDv9CjuQyhhG4pmLtm8EiJSuxpR9d+TnsgIvrQOEjpvJi3rRMl4IQ4HZJD5+Od0sZGMmLX7BhZN0WgpFwpmwIoUV1o2+ohcN5CMeYTmxPyi8jkfuyEetSHJdfyVVo5h3lz69+9q0OVz5AO2ztYi0cLnZDX11jHoJVHyTqkMtcMTeSmEZsLH/Xm0AsZSeo9JYf/bZcWaRf16/Qj7SiAd3Ozw2H1QwDtG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zuaARSUFdluJjfDmPrSD06iAaJenvobm8cOJnUWBzfo=</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9cV1PmbrOkTIFxv4H7v0LHhF6vhx7ymbZdNSfIYZpV0=</DigestValue>
      </Reference>
      <Reference URI="/xl/printerSettings/printerSettings14.bin?ContentType=application/vnd.openxmlformats-officedocument.spreadsheetml.printerSettings">
        <DigestMethod Algorithm="http://www.w3.org/2001/04/xmlenc#sha256"/>
        <DigestValue>BfOqFYncvTrOA0w5jBPLJpo6svE1gFZliFydlsU/uz4=</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9cV1PmbrOkTIFxv4H7v0LHhF6vhx7ymbZdNSfIYZpV0=</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+dDUZwxgGQrd5u9nWfPMAi5lsaQZEm0UkiMmRBvmopo=</DigestValue>
      </Reference>
      <Reference URI="/xl/styles.xml?ContentType=application/vnd.openxmlformats-officedocument.spreadsheetml.styles+xml">
        <DigestMethod Algorithm="http://www.w3.org/2001/04/xmlenc#sha256"/>
        <DigestValue>90QEgQ+kScBNtw5kokvlIOSH/pHj7XH3xaJhpnkWe+Y=</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e3uOX+9muo8MmjPzvErinxzzy5vbqhiu4cbE68C59oY=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6cIaspV8kCE+WqtYvwhR/UyiacDG+VNN0Jq245oMu7U=</DigestValue>
      </Reference>
      <Reference URI="/xl/worksheets/sheet10.xml?ContentType=application/vnd.openxmlformats-officedocument.spreadsheetml.worksheet+xml">
        <DigestMethod Algorithm="http://www.w3.org/2001/04/xmlenc#sha256"/>
        <DigestValue>q4KUPZHUbrF57sph9olbXdyZgtdKXsVwWK8vZc3Kj48=</DigestValue>
      </Reference>
      <Reference URI="/xl/worksheets/sheet11.xml?ContentType=application/vnd.openxmlformats-officedocument.spreadsheetml.worksheet+xml">
        <DigestMethod Algorithm="http://www.w3.org/2001/04/xmlenc#sha256"/>
        <DigestValue>fz91xdZaLQFbmjo8Cg7IQta9Q77CplnzqC+Y0tRj5D4=</DigestValue>
      </Reference>
      <Reference URI="/xl/worksheets/sheet12.xml?ContentType=application/vnd.openxmlformats-officedocument.spreadsheetml.worksheet+xml">
        <DigestMethod Algorithm="http://www.w3.org/2001/04/xmlenc#sha256"/>
        <DigestValue>YAq4ppo6N+7yxO3gJXrFaHRntqIYHlz96dkrHR5asEE=</DigestValue>
      </Reference>
      <Reference URI="/xl/worksheets/sheet13.xml?ContentType=application/vnd.openxmlformats-officedocument.spreadsheetml.worksheet+xml">
        <DigestMethod Algorithm="http://www.w3.org/2001/04/xmlenc#sha256"/>
        <DigestValue>mPzZdzoNwwHeWmBrBhXHbmC5UPRFqI/XlyOlUS3mvfs=</DigestValue>
      </Reference>
      <Reference URI="/xl/worksheets/sheet14.xml?ContentType=application/vnd.openxmlformats-officedocument.spreadsheetml.worksheet+xml">
        <DigestMethod Algorithm="http://www.w3.org/2001/04/xmlenc#sha256"/>
        <DigestValue>JKzq0ZyjbGhWoe2jpYQGOOP6K5fKgNtzYYEpGYGUTyA=</DigestValue>
      </Reference>
      <Reference URI="/xl/worksheets/sheet15.xml?ContentType=application/vnd.openxmlformats-officedocument.spreadsheetml.worksheet+xml">
        <DigestMethod Algorithm="http://www.w3.org/2001/04/xmlenc#sha256"/>
        <DigestValue>GFkW23WmDIAGKoZp5JAMNPnqp8in4QNRmvLxlrzMwLk=</DigestValue>
      </Reference>
      <Reference URI="/xl/worksheets/sheet16.xml?ContentType=application/vnd.openxmlformats-officedocument.spreadsheetml.worksheet+xml">
        <DigestMethod Algorithm="http://www.w3.org/2001/04/xmlenc#sha256"/>
        <DigestValue>m1Pq3eb8x+CCO91Yjx2LfUw3bSm4BIXVTRIB7zCrEtI=</DigestValue>
      </Reference>
      <Reference URI="/xl/worksheets/sheet17.xml?ContentType=application/vnd.openxmlformats-officedocument.spreadsheetml.worksheet+xml">
        <DigestMethod Algorithm="http://www.w3.org/2001/04/xmlenc#sha256"/>
        <DigestValue>kCs5t8jBcKd2+AbcJDch8vig1jHNfc88+9Ia2iurrC4=</DigestValue>
      </Reference>
      <Reference URI="/xl/worksheets/sheet18.xml?ContentType=application/vnd.openxmlformats-officedocument.spreadsheetml.worksheet+xml">
        <DigestMethod Algorithm="http://www.w3.org/2001/04/xmlenc#sha256"/>
        <DigestValue>7sT2b9a96nHY160vjTL9ib91tAhkMZ/NGmL8iqG0gLQ=</DigestValue>
      </Reference>
      <Reference URI="/xl/worksheets/sheet19.xml?ContentType=application/vnd.openxmlformats-officedocument.spreadsheetml.worksheet+xml">
        <DigestMethod Algorithm="http://www.w3.org/2001/04/xmlenc#sha256"/>
        <DigestValue>rddgSmB69dnbTSQU+mhX58xUwjwmKAS5lBXMzn4II8k=</DigestValue>
      </Reference>
      <Reference URI="/xl/worksheets/sheet2.xml?ContentType=application/vnd.openxmlformats-officedocument.spreadsheetml.worksheet+xml">
        <DigestMethod Algorithm="http://www.w3.org/2001/04/xmlenc#sha256"/>
        <DigestValue>/8bOGqiYoQ3QCfHNz+UzYrsiNvD0C78SaclteOgE+uc=</DigestValue>
      </Reference>
      <Reference URI="/xl/worksheets/sheet20.xml?ContentType=application/vnd.openxmlformats-officedocument.spreadsheetml.worksheet+xml">
        <DigestMethod Algorithm="http://www.w3.org/2001/04/xmlenc#sha256"/>
        <DigestValue>RWEtzcGqNq+vOCHmSuqowHLJ0StIHmUL85kpAaAk+X4=</DigestValue>
      </Reference>
      <Reference URI="/xl/worksheets/sheet21.xml?ContentType=application/vnd.openxmlformats-officedocument.spreadsheetml.worksheet+xml">
        <DigestMethod Algorithm="http://www.w3.org/2001/04/xmlenc#sha256"/>
        <DigestValue>MxzHKKhVRNEmEvFW8jaHEsH0sw0k+5vT4yAXeh97JY4=</DigestValue>
      </Reference>
      <Reference URI="/xl/worksheets/sheet22.xml?ContentType=application/vnd.openxmlformats-officedocument.spreadsheetml.worksheet+xml">
        <DigestMethod Algorithm="http://www.w3.org/2001/04/xmlenc#sha256"/>
        <DigestValue>vBMkeGUj5XuQEAN4Cziq7kavXhuKQXOmw3aFH2C/q8Y=</DigestValue>
      </Reference>
      <Reference URI="/xl/worksheets/sheet23.xml?ContentType=application/vnd.openxmlformats-officedocument.spreadsheetml.worksheet+xml">
        <DigestMethod Algorithm="http://www.w3.org/2001/04/xmlenc#sha256"/>
        <DigestValue>39IBw3NcqJhTLNmSZ60zreGAfOgI6oiv2+qmIj1Qnj4=</DigestValue>
      </Reference>
      <Reference URI="/xl/worksheets/sheet24.xml?ContentType=application/vnd.openxmlformats-officedocument.spreadsheetml.worksheet+xml">
        <DigestMethod Algorithm="http://www.w3.org/2001/04/xmlenc#sha256"/>
        <DigestValue>Co7uV7n/UGlyAg79u77Hp57riaocUQDCldSl/FDgXKw=</DigestValue>
      </Reference>
      <Reference URI="/xl/worksheets/sheet25.xml?ContentType=application/vnd.openxmlformats-officedocument.spreadsheetml.worksheet+xml">
        <DigestMethod Algorithm="http://www.w3.org/2001/04/xmlenc#sha256"/>
        <DigestValue>lJ+W9ymJdDov95q05ne/GSYUpLmlTrRmk7WE6vAF9lc=</DigestValue>
      </Reference>
      <Reference URI="/xl/worksheets/sheet26.xml?ContentType=application/vnd.openxmlformats-officedocument.spreadsheetml.worksheet+xml">
        <DigestMethod Algorithm="http://www.w3.org/2001/04/xmlenc#sha256"/>
        <DigestValue>jUiUnG0ubds/YXMos/BDKw3D73hwL57+yrDo+YGpp2U=</DigestValue>
      </Reference>
      <Reference URI="/xl/worksheets/sheet27.xml?ContentType=application/vnd.openxmlformats-officedocument.spreadsheetml.worksheet+xml">
        <DigestMethod Algorithm="http://www.w3.org/2001/04/xmlenc#sha256"/>
        <DigestValue>gxg2YerOTEE+OW/lsTWOH8chjkbPR3dNkYsA+bZrrkY=</DigestValue>
      </Reference>
      <Reference URI="/xl/worksheets/sheet28.xml?ContentType=application/vnd.openxmlformats-officedocument.spreadsheetml.worksheet+xml">
        <DigestMethod Algorithm="http://www.w3.org/2001/04/xmlenc#sha256"/>
        <DigestValue>Sng1WbU2Ff+ILjfJ4EwBMsLHA2qjgRx3XGSDxg/bwPA=</DigestValue>
      </Reference>
      <Reference URI="/xl/worksheets/sheet29.xml?ContentType=application/vnd.openxmlformats-officedocument.spreadsheetml.worksheet+xml">
        <DigestMethod Algorithm="http://www.w3.org/2001/04/xmlenc#sha256"/>
        <DigestValue>4HD7ZVyuyIqgyOLKsk+/XIk/7QvM5iyawNOCNmlFK68=</DigestValue>
      </Reference>
      <Reference URI="/xl/worksheets/sheet3.xml?ContentType=application/vnd.openxmlformats-officedocument.spreadsheetml.worksheet+xml">
        <DigestMethod Algorithm="http://www.w3.org/2001/04/xmlenc#sha256"/>
        <DigestValue>QOGeDLK9tsFJZ88LsBHdzKIJZEoK0If6HAeF661HJk4=</DigestValue>
      </Reference>
      <Reference URI="/xl/worksheets/sheet4.xml?ContentType=application/vnd.openxmlformats-officedocument.spreadsheetml.worksheet+xml">
        <DigestMethod Algorithm="http://www.w3.org/2001/04/xmlenc#sha256"/>
        <DigestValue>G9ViWDtYQfhd9sNc50kyzBz3kypa/gpqT597PgdXEmU=</DigestValue>
      </Reference>
      <Reference URI="/xl/worksheets/sheet5.xml?ContentType=application/vnd.openxmlformats-officedocument.spreadsheetml.worksheet+xml">
        <DigestMethod Algorithm="http://www.w3.org/2001/04/xmlenc#sha256"/>
        <DigestValue>KMHAadYezIO3t6OmnDKU265a0XiMzu4OvB4CTw1i37Y=</DigestValue>
      </Reference>
      <Reference URI="/xl/worksheets/sheet6.xml?ContentType=application/vnd.openxmlformats-officedocument.spreadsheetml.worksheet+xml">
        <DigestMethod Algorithm="http://www.w3.org/2001/04/xmlenc#sha256"/>
        <DigestValue>s7ZR9BvxcMp8ssFUqUleBzWdM6Jg0rxJVRrjGPYkyIc=</DigestValue>
      </Reference>
      <Reference URI="/xl/worksheets/sheet7.xml?ContentType=application/vnd.openxmlformats-officedocument.spreadsheetml.worksheet+xml">
        <DigestMethod Algorithm="http://www.w3.org/2001/04/xmlenc#sha256"/>
        <DigestValue>GKymLwNM75+4XcdrVp7CMMZJ+JOMII+APOqQzkbw66c=</DigestValue>
      </Reference>
      <Reference URI="/xl/worksheets/sheet8.xml?ContentType=application/vnd.openxmlformats-officedocument.spreadsheetml.worksheet+xml">
        <DigestMethod Algorithm="http://www.w3.org/2001/04/xmlenc#sha256"/>
        <DigestValue>Lyoq+4YNmJjZLCU8Ub18R5grZ4rxdJ1O0eDkGOhXVOk=</DigestValue>
      </Reference>
      <Reference URI="/xl/worksheets/sheet9.xml?ContentType=application/vnd.openxmlformats-officedocument.spreadsheetml.worksheet+xml">
        <DigestMethod Algorithm="http://www.w3.org/2001/04/xmlenc#sha256"/>
        <DigestValue>Rzd3Mir8oubHkb4Dp5PwbFUwmCB6IxnPA4CJaJYjj1k=</DigestValue>
      </Reference>
    </Manifest>
    <SignatureProperties>
      <SignatureProperty Id="idSignatureTime" Target="#idPackageSignature">
        <mdssi:SignatureTime xmlns:mdssi="http://schemas.openxmlformats.org/package/2006/digital-signature">
          <mdssi:Format>YYYY-MM-DDThh:mm:ssTZD</mdssi:Format>
          <mdssi:Value>2023-12-22T13:54:42Z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16.0.17029/26</OfficeVersion>
          <ApplicationVersion>16.0.17029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2023-12-22T13:54:42Z</xd:SigningTime>
          <xd:SigningCertificate>
            <xd:Cert>
              <xd:CertDigest>
                <DigestMethod Algorithm="http://www.w3.org/2001/04/xmlenc#sha256"/>
                <DigestValue>9CqlcYZU+h+a6OEYsaDhcKSas65fQf4/qf+iXcOEqSc=</DigestValue>
              </xd:CertDigest>
              <xd:IssuerSerial>
                <X509IssuerName>CN=NBG Class 2 INT Sub CA, DC=nbg, DC=ge</X509IssuerName>
                <X509SerialNumber>139674568756012247038145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B429E614-268B-4FA3-8744-4F6A371709D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2023-12-19T08:17:31Z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