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24226"/>
  <xr:revisionPtr revIDLastSave="0" documentId="13_ncr:1_{C691B6C5-29E2-4303-B353-DBD1FB3D1ADA}" xr6:coauthVersionLast="47" xr6:coauthVersionMax="47" xr10:uidLastSave="{00000000-0000-0000-0000-000000000000}"/>
  <bookViews>
    <workbookView xWindow="-108" yWindow="-108" windowWidth="23256" windowHeight="12576" tabRatio="951" firstSheet="19" activeTab="24"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state="hidden"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0" i="104" l="1"/>
  <c r="H20" i="104"/>
  <c r="C20" i="104"/>
  <c r="R19" i="104" l="1"/>
  <c r="R13" i="104"/>
  <c r="L19" i="104"/>
  <c r="Q19" i="104"/>
  <c r="F36" i="80" l="1"/>
  <c r="C36" i="80"/>
  <c r="C12" i="80" l="1"/>
  <c r="C13" i="80"/>
  <c r="U10" i="101" l="1"/>
  <c r="C18" i="100"/>
  <c r="C17" i="100"/>
  <c r="C21" i="100"/>
  <c r="C20" i="100"/>
  <c r="C19" i="100"/>
  <c r="C16" i="100"/>
  <c r="C14" i="100"/>
  <c r="C13" i="100"/>
  <c r="C8" i="100" s="1"/>
  <c r="D15" i="100"/>
  <c r="C15" i="100" s="1"/>
  <c r="C8" i="79" l="1"/>
  <c r="C7" i="79"/>
  <c r="C6" i="79"/>
  <c r="C18" i="101" l="1"/>
  <c r="C19" i="101"/>
  <c r="C20" i="101"/>
  <c r="C21" i="101"/>
  <c r="C17" i="101"/>
  <c r="C12" i="101"/>
  <c r="C13" i="101"/>
  <c r="C14" i="101"/>
  <c r="C15" i="101"/>
  <c r="C11" i="101"/>
  <c r="C9" i="101"/>
  <c r="Q13" i="104" l="1"/>
  <c r="L13" i="104"/>
  <c r="G13" i="104"/>
  <c r="G19" i="104" s="1"/>
  <c r="P13" i="104" l="1"/>
  <c r="O13" i="104"/>
  <c r="N13" i="104"/>
  <c r="K13" i="104"/>
  <c r="K19" i="104" s="1"/>
  <c r="J13" i="104"/>
  <c r="J19" i="104" s="1"/>
  <c r="I13" i="104"/>
  <c r="I19" i="104" s="1"/>
  <c r="F13" i="104"/>
  <c r="F19" i="104" s="1"/>
  <c r="E13" i="104"/>
  <c r="E19" i="104" s="1"/>
  <c r="D13" i="104"/>
  <c r="D19" i="104" s="1"/>
  <c r="G35" i="80" l="1"/>
  <c r="F33" i="80"/>
  <c r="E33" i="80"/>
  <c r="D33" i="80"/>
  <c r="C33" i="80"/>
  <c r="G16" i="80" l="1"/>
  <c r="G9" i="80"/>
  <c r="H32" i="102" l="1"/>
  <c r="H8" i="102"/>
  <c r="H9" i="102"/>
  <c r="H10" i="102"/>
  <c r="H11" i="102"/>
  <c r="H12" i="102"/>
  <c r="H13" i="102"/>
  <c r="H14" i="102"/>
  <c r="H15" i="102"/>
  <c r="H16" i="102"/>
  <c r="H17" i="102"/>
  <c r="H18" i="102"/>
  <c r="H19" i="102"/>
  <c r="H20" i="102"/>
  <c r="H21" i="102"/>
  <c r="H22" i="102"/>
  <c r="H23" i="102"/>
  <c r="H24" i="102"/>
  <c r="H25" i="102"/>
  <c r="H26" i="102"/>
  <c r="H27" i="102"/>
  <c r="H28" i="102"/>
  <c r="H29" i="102"/>
  <c r="H30" i="102"/>
  <c r="H31" i="102"/>
  <c r="C32" i="102"/>
  <c r="D22" i="96" l="1"/>
  <c r="G37" i="93" l="1"/>
  <c r="F37" i="93"/>
  <c r="G6" i="93"/>
  <c r="F6" i="93"/>
  <c r="D6" i="93" l="1"/>
  <c r="C6" i="93"/>
  <c r="N19" i="104" l="1"/>
  <c r="O19" i="104"/>
  <c r="P19" i="104"/>
  <c r="C22" i="96"/>
  <c r="C19" i="6" l="1"/>
  <c r="C20" i="6"/>
  <c r="C18" i="6"/>
  <c r="M18" i="104" l="1"/>
  <c r="M17" i="104"/>
  <c r="M16" i="104"/>
  <c r="M15" i="104"/>
  <c r="M14" i="104"/>
  <c r="M13" i="104"/>
  <c r="M12" i="104"/>
  <c r="M11" i="104"/>
  <c r="M10" i="104"/>
  <c r="M9" i="104"/>
  <c r="M8" i="104"/>
  <c r="M7" i="104"/>
  <c r="H7" i="104"/>
  <c r="H8" i="104"/>
  <c r="H9" i="104"/>
  <c r="H10" i="104"/>
  <c r="H11" i="104"/>
  <c r="H12" i="104"/>
  <c r="H13" i="104"/>
  <c r="H14" i="104"/>
  <c r="H15" i="104"/>
  <c r="H16" i="104"/>
  <c r="H17" i="104"/>
  <c r="H18" i="104"/>
  <c r="C7" i="104"/>
  <c r="C8" i="104"/>
  <c r="C9" i="104"/>
  <c r="C10" i="104"/>
  <c r="C11" i="104"/>
  <c r="C12" i="104"/>
  <c r="C13" i="104"/>
  <c r="C14" i="104"/>
  <c r="C15" i="104"/>
  <c r="C16" i="104"/>
  <c r="C17" i="104"/>
  <c r="C18" i="104"/>
  <c r="H19" i="104" l="1"/>
  <c r="C19" i="104"/>
  <c r="M19" i="104"/>
  <c r="G36" i="80" l="1"/>
  <c r="G34" i="80"/>
  <c r="G33" i="80" s="1"/>
  <c r="G31" i="80"/>
  <c r="G30" i="80"/>
  <c r="G29" i="80"/>
  <c r="G26" i="80"/>
  <c r="G15" i="80" l="1"/>
  <c r="G10" i="80"/>
  <c r="G13" i="80"/>
  <c r="G12" i="80"/>
  <c r="E29" i="92" l="1"/>
  <c r="E20" i="92"/>
  <c r="E21" i="92"/>
  <c r="E17" i="72" l="1"/>
  <c r="E18" i="72"/>
  <c r="E19" i="72"/>
  <c r="E21" i="72"/>
  <c r="E22" i="72"/>
  <c r="E23" i="72"/>
  <c r="E24" i="72"/>
  <c r="E26" i="72"/>
  <c r="E27" i="72"/>
  <c r="E29" i="72"/>
  <c r="E30" i="72"/>
  <c r="E32" i="72"/>
  <c r="E33" i="72"/>
  <c r="E34" i="72"/>
  <c r="E35" i="72"/>
  <c r="E36" i="72"/>
  <c r="E10" i="72"/>
  <c r="E11" i="72"/>
  <c r="E12" i="72"/>
  <c r="E13" i="72"/>
  <c r="E14" i="72"/>
  <c r="E15" i="72"/>
  <c r="E9" i="72"/>
  <c r="H9" i="74"/>
  <c r="H10" i="74"/>
  <c r="H11" i="74"/>
  <c r="H12" i="74"/>
  <c r="H13" i="74"/>
  <c r="H14" i="74"/>
  <c r="H15" i="74"/>
  <c r="H16" i="74"/>
  <c r="H17" i="74"/>
  <c r="H18" i="74"/>
  <c r="H19" i="74"/>
  <c r="H20" i="74"/>
  <c r="H21" i="74"/>
  <c r="H8" i="74"/>
  <c r="C22" i="74"/>
  <c r="F17" i="94" l="1"/>
  <c r="C8" i="101" l="1"/>
  <c r="D10" i="101" l="1"/>
  <c r="E10" i="101"/>
  <c r="F10" i="101"/>
  <c r="G10" i="101"/>
  <c r="H10" i="101"/>
  <c r="I10" i="101"/>
  <c r="J10" i="101"/>
  <c r="K10" i="101"/>
  <c r="L10" i="101"/>
  <c r="M10" i="101"/>
  <c r="N10" i="101"/>
  <c r="O10" i="101"/>
  <c r="P10" i="101"/>
  <c r="Q10" i="101"/>
  <c r="R10" i="101"/>
  <c r="S10" i="101"/>
  <c r="T10" i="101"/>
  <c r="X10" i="101"/>
  <c r="Y10" i="101"/>
  <c r="Z10" i="101"/>
  <c r="AA10" i="101"/>
  <c r="C10" i="101"/>
  <c r="L33" i="102" l="1"/>
  <c r="K33" i="102"/>
  <c r="J33" i="102"/>
  <c r="I33" i="102"/>
  <c r="E33" i="102"/>
  <c r="F33" i="102"/>
  <c r="G33" i="102"/>
  <c r="D33" i="102"/>
  <c r="H7" i="102"/>
  <c r="C8" i="102"/>
  <c r="C9" i="102"/>
  <c r="C10" i="102"/>
  <c r="C11" i="102"/>
  <c r="C12" i="102"/>
  <c r="C13" i="102"/>
  <c r="C14" i="102"/>
  <c r="C15" i="102"/>
  <c r="C16" i="102"/>
  <c r="C17" i="102"/>
  <c r="C18" i="102"/>
  <c r="C19" i="102"/>
  <c r="C20" i="102"/>
  <c r="C21" i="102"/>
  <c r="C22" i="102"/>
  <c r="C23" i="102"/>
  <c r="C24" i="102"/>
  <c r="C25" i="102"/>
  <c r="C26" i="102"/>
  <c r="C27" i="102"/>
  <c r="C28" i="102"/>
  <c r="C29" i="102"/>
  <c r="C30" i="102"/>
  <c r="C31" i="102"/>
  <c r="C7" i="102"/>
  <c r="C33" i="102" l="1"/>
  <c r="H33" i="102"/>
  <c r="C27" i="100"/>
  <c r="C22" i="100" s="1"/>
  <c r="E15" i="100" l="1"/>
  <c r="F15" i="100"/>
  <c r="G15" i="100"/>
  <c r="H15" i="100"/>
  <c r="I15" i="100"/>
  <c r="J15" i="100"/>
  <c r="K15" i="100"/>
  <c r="L15" i="100"/>
  <c r="M15" i="100"/>
  <c r="N15" i="100"/>
  <c r="O15" i="100"/>
  <c r="P15" i="100"/>
  <c r="Q15" i="100"/>
  <c r="R15" i="100"/>
  <c r="S15" i="100"/>
  <c r="T15" i="100"/>
  <c r="U15" i="100"/>
  <c r="V15" i="100"/>
  <c r="W15" i="100"/>
  <c r="X15" i="100"/>
  <c r="Y15" i="100"/>
  <c r="Z15" i="100"/>
  <c r="AA15" i="100"/>
  <c r="D8" i="100" l="1"/>
  <c r="E8" i="100"/>
  <c r="F8" i="100"/>
  <c r="G8" i="100"/>
  <c r="I8" i="100"/>
  <c r="J8" i="100"/>
  <c r="K8" i="100"/>
  <c r="M8" i="100"/>
  <c r="N8" i="100"/>
  <c r="O8" i="100"/>
  <c r="P8" i="100"/>
  <c r="Q8" i="100"/>
  <c r="R8" i="100"/>
  <c r="S8" i="100"/>
  <c r="U8" i="100"/>
  <c r="V8" i="100"/>
  <c r="W8" i="100"/>
  <c r="X8" i="100"/>
  <c r="Y8" i="100"/>
  <c r="Z8" i="100"/>
  <c r="AA8" i="100"/>
  <c r="T8" i="100"/>
  <c r="L8" i="100"/>
  <c r="H8" i="100" l="1"/>
  <c r="H31" i="97"/>
  <c r="C7" i="37" l="1"/>
  <c r="J23" i="36"/>
  <c r="I23" i="36"/>
  <c r="K23" i="36" s="1"/>
  <c r="G23" i="36"/>
  <c r="F23" i="36"/>
  <c r="H23" i="36" s="1"/>
  <c r="J21" i="36"/>
  <c r="I21" i="36"/>
  <c r="G21" i="36"/>
  <c r="F21" i="36"/>
  <c r="D21" i="36"/>
  <c r="C21" i="36"/>
  <c r="K19" i="36"/>
  <c r="K21" i="36" s="1"/>
  <c r="H19" i="36"/>
  <c r="H21" i="36" s="1"/>
  <c r="E19" i="36"/>
  <c r="E21" i="36" s="1"/>
  <c r="J16" i="36"/>
  <c r="I16" i="36"/>
  <c r="G16" i="36"/>
  <c r="F16" i="36"/>
  <c r="D16" i="36"/>
  <c r="C16" i="36"/>
  <c r="K11" i="36"/>
  <c r="K12" i="36"/>
  <c r="K13" i="36"/>
  <c r="K14" i="36"/>
  <c r="K15" i="36"/>
  <c r="K10" i="36"/>
  <c r="H11" i="36"/>
  <c r="H12" i="36"/>
  <c r="H13" i="36"/>
  <c r="H14" i="36"/>
  <c r="H15" i="36"/>
  <c r="H10" i="36"/>
  <c r="E11" i="36"/>
  <c r="E12" i="36"/>
  <c r="E13" i="36"/>
  <c r="E14" i="36"/>
  <c r="E15" i="36"/>
  <c r="E10" i="36"/>
  <c r="K8" i="36"/>
  <c r="H8" i="36"/>
  <c r="K16" i="36" l="1"/>
  <c r="H16" i="36"/>
  <c r="E16" i="36"/>
  <c r="I24" i="36"/>
  <c r="I25" i="36" s="1"/>
  <c r="J24" i="36"/>
  <c r="J25" i="36" s="1"/>
  <c r="F24" i="36"/>
  <c r="G24" i="36"/>
  <c r="G25" i="36" s="1"/>
  <c r="H24" i="36" l="1"/>
  <c r="H25" i="36" s="1"/>
  <c r="K24" i="36"/>
  <c r="K25" i="36" s="1"/>
  <c r="F25" i="36"/>
  <c r="B1" i="94"/>
  <c r="B1" i="93"/>
  <c r="B1" i="92"/>
  <c r="B1" i="104" l="1"/>
  <c r="B1" i="103"/>
  <c r="B1" i="102"/>
  <c r="B1" i="101"/>
  <c r="B1" i="100"/>
  <c r="B1" i="99"/>
  <c r="B1" i="98"/>
  <c r="B1" i="97"/>
  <c r="B1" i="96"/>
  <c r="B1" i="95"/>
  <c r="C10" i="99" l="1"/>
  <c r="C18" i="99" s="1"/>
  <c r="C7" i="98"/>
  <c r="C10" i="98"/>
  <c r="H7" i="97"/>
  <c r="H8" i="97"/>
  <c r="H9" i="97"/>
  <c r="H10" i="97"/>
  <c r="H11" i="97"/>
  <c r="H12" i="97"/>
  <c r="H13" i="97"/>
  <c r="H14" i="97"/>
  <c r="H15" i="97"/>
  <c r="H16" i="97"/>
  <c r="H17" i="97"/>
  <c r="H18" i="97"/>
  <c r="H19" i="97"/>
  <c r="H20" i="97"/>
  <c r="H21" i="97"/>
  <c r="H22" i="97"/>
  <c r="H23" i="97"/>
  <c r="H24" i="97"/>
  <c r="H25" i="97"/>
  <c r="H26" i="97"/>
  <c r="H27" i="97"/>
  <c r="H28" i="97"/>
  <c r="H29" i="97"/>
  <c r="H30"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H21" i="95"/>
  <c r="C22" i="95"/>
  <c r="D22" i="95"/>
  <c r="E22" i="95"/>
  <c r="F22" i="95"/>
  <c r="G22" i="95"/>
  <c r="C15" i="98" l="1"/>
  <c r="H34" i="97"/>
  <c r="H21" i="96"/>
  <c r="H22" i="95"/>
  <c r="C67" i="69"/>
  <c r="C62" i="69"/>
  <c r="C58" i="69"/>
  <c r="C46" i="69"/>
  <c r="C40" i="69"/>
  <c r="C29" i="69"/>
  <c r="C26" i="69"/>
  <c r="C23" i="69"/>
  <c r="C18" i="69"/>
  <c r="C14" i="69"/>
  <c r="C6" i="69"/>
  <c r="D8" i="72"/>
  <c r="D37" i="72" s="1"/>
  <c r="E8" i="72"/>
  <c r="D16" i="72"/>
  <c r="D20" i="72"/>
  <c r="D25" i="72"/>
  <c r="D28" i="72"/>
  <c r="D31" i="72"/>
  <c r="C31" i="72"/>
  <c r="E31" i="72" s="1"/>
  <c r="C28" i="72"/>
  <c r="C25" i="72"/>
  <c r="E25" i="72" s="1"/>
  <c r="C20" i="72"/>
  <c r="E20" i="72" s="1"/>
  <c r="C16" i="72"/>
  <c r="E16" i="72" s="1"/>
  <c r="C8" i="72"/>
  <c r="C37" i="72" l="1"/>
  <c r="E28" i="72"/>
  <c r="E37" i="72" s="1"/>
  <c r="C52" i="69"/>
  <c r="C68" i="69" s="1"/>
  <c r="C35" i="69"/>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H30" i="94" s="1"/>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H37" i="93"/>
  <c r="D37" i="93"/>
  <c r="C37" i="93"/>
  <c r="H36" i="93"/>
  <c r="E36" i="93"/>
  <c r="H35" i="93"/>
  <c r="E35" i="93"/>
  <c r="G34" i="93"/>
  <c r="F34" i="93"/>
  <c r="H34" i="93" s="1"/>
  <c r="D34" i="93"/>
  <c r="C34" i="93"/>
  <c r="E34" i="93" s="1"/>
  <c r="H33" i="93"/>
  <c r="E33" i="93"/>
  <c r="H32" i="93"/>
  <c r="E32" i="93"/>
  <c r="H31" i="93"/>
  <c r="E31" i="93"/>
  <c r="H30" i="93"/>
  <c r="E30" i="93"/>
  <c r="G29" i="93"/>
  <c r="F29" i="93"/>
  <c r="H29" i="93" s="1"/>
  <c r="D29" i="93"/>
  <c r="C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H12" i="93"/>
  <c r="E12" i="93"/>
  <c r="H11" i="93"/>
  <c r="E11" i="93"/>
  <c r="H10" i="93"/>
  <c r="E10" i="93"/>
  <c r="H9" i="93"/>
  <c r="E9" i="93"/>
  <c r="H8" i="93"/>
  <c r="E8" i="93"/>
  <c r="H7" i="93"/>
  <c r="E7" i="93"/>
  <c r="G68" i="92"/>
  <c r="F68" i="92"/>
  <c r="H67" i="92"/>
  <c r="E67" i="92"/>
  <c r="H66" i="92"/>
  <c r="E66" i="92"/>
  <c r="H65" i="92"/>
  <c r="E65" i="92"/>
  <c r="H64" i="92"/>
  <c r="E64" i="92"/>
  <c r="H63" i="92"/>
  <c r="D63" i="92"/>
  <c r="C63" i="92"/>
  <c r="E63" i="92" s="1"/>
  <c r="H62" i="92"/>
  <c r="E62" i="92"/>
  <c r="H61" i="92"/>
  <c r="E61" i="92"/>
  <c r="H60" i="92"/>
  <c r="E60" i="92"/>
  <c r="H59" i="92"/>
  <c r="E59" i="92"/>
  <c r="D59" i="92"/>
  <c r="C59" i="92"/>
  <c r="H58" i="92"/>
  <c r="E58" i="92"/>
  <c r="H57" i="92"/>
  <c r="E57" i="92"/>
  <c r="H56" i="92"/>
  <c r="E56" i="92"/>
  <c r="H55" i="92"/>
  <c r="E55" i="92"/>
  <c r="H52" i="92"/>
  <c r="E52" i="92"/>
  <c r="H51" i="92"/>
  <c r="E51" i="92"/>
  <c r="H50" i="92"/>
  <c r="E50" i="92"/>
  <c r="H49" i="92"/>
  <c r="E49" i="92"/>
  <c r="H48" i="92"/>
  <c r="E48" i="92"/>
  <c r="G47" i="92"/>
  <c r="F47" i="92"/>
  <c r="D47" i="92"/>
  <c r="C47" i="92"/>
  <c r="E47" i="92" s="1"/>
  <c r="H46" i="92"/>
  <c r="E46" i="92"/>
  <c r="H45" i="92"/>
  <c r="E45" i="92"/>
  <c r="H44" i="92"/>
  <c r="E44" i="92"/>
  <c r="H43" i="92"/>
  <c r="E43" i="92"/>
  <c r="H42" i="92"/>
  <c r="E42" i="92"/>
  <c r="G41" i="92"/>
  <c r="F41" i="92"/>
  <c r="D41" i="92"/>
  <c r="D53" i="92" s="1"/>
  <c r="C41" i="92"/>
  <c r="H40" i="92"/>
  <c r="E40" i="92"/>
  <c r="H39" i="92"/>
  <c r="E39" i="92"/>
  <c r="H38" i="92"/>
  <c r="E38" i="92"/>
  <c r="H35" i="92"/>
  <c r="E35" i="92"/>
  <c r="H34" i="92"/>
  <c r="E34" i="92"/>
  <c r="H33" i="92"/>
  <c r="E33" i="92"/>
  <c r="H32" i="92"/>
  <c r="E32" i="92"/>
  <c r="H31" i="92"/>
  <c r="E31" i="92"/>
  <c r="G30" i="92"/>
  <c r="F30" i="92"/>
  <c r="H30" i="92" s="1"/>
  <c r="D30" i="92"/>
  <c r="C30" i="92"/>
  <c r="H29" i="92"/>
  <c r="H28" i="92"/>
  <c r="E28" i="92"/>
  <c r="G27" i="92"/>
  <c r="F27" i="92"/>
  <c r="D27" i="92"/>
  <c r="C27" i="92"/>
  <c r="E27" i="92" s="1"/>
  <c r="H26" i="92"/>
  <c r="E26" i="92"/>
  <c r="H25" i="92"/>
  <c r="E25" i="92"/>
  <c r="G24" i="92"/>
  <c r="F24" i="92"/>
  <c r="D24" i="92"/>
  <c r="C24" i="92"/>
  <c r="E24" i="92" s="1"/>
  <c r="H23" i="92"/>
  <c r="E23" i="92"/>
  <c r="H22" i="92"/>
  <c r="E22" i="92"/>
  <c r="H21" i="92"/>
  <c r="H20" i="92"/>
  <c r="G19" i="92"/>
  <c r="F19" i="92"/>
  <c r="D19" i="92"/>
  <c r="C19" i="92"/>
  <c r="C36" i="92" s="1"/>
  <c r="H18" i="92"/>
  <c r="E18" i="92"/>
  <c r="H17" i="92"/>
  <c r="E17" i="92"/>
  <c r="H16" i="92"/>
  <c r="E16" i="92"/>
  <c r="G15" i="92"/>
  <c r="F15" i="92"/>
  <c r="H15" i="92" s="1"/>
  <c r="D15" i="92"/>
  <c r="C15" i="92"/>
  <c r="E15" i="92" s="1"/>
  <c r="H14" i="92"/>
  <c r="E14" i="92"/>
  <c r="H13" i="92"/>
  <c r="E13" i="92"/>
  <c r="H12" i="92"/>
  <c r="E12" i="92"/>
  <c r="H11" i="92"/>
  <c r="E11" i="92"/>
  <c r="H10" i="92"/>
  <c r="E10" i="92"/>
  <c r="H9" i="92"/>
  <c r="E9" i="92"/>
  <c r="H8" i="92"/>
  <c r="E8" i="92"/>
  <c r="G7" i="92"/>
  <c r="F7" i="92"/>
  <c r="D7" i="92"/>
  <c r="C7" i="92"/>
  <c r="E37" i="93" l="1"/>
  <c r="E13" i="93"/>
  <c r="C43" i="93"/>
  <c r="C45" i="93" s="1"/>
  <c r="E41" i="92"/>
  <c r="E38" i="94"/>
  <c r="H13" i="93"/>
  <c r="H41" i="92"/>
  <c r="H27" i="92"/>
  <c r="H19" i="92"/>
  <c r="H7" i="92"/>
  <c r="E19" i="92"/>
  <c r="C68" i="92"/>
  <c r="E6" i="93"/>
  <c r="F36" i="92"/>
  <c r="D68" i="92"/>
  <c r="D69" i="92" s="1"/>
  <c r="F43" i="93"/>
  <c r="F45" i="93" s="1"/>
  <c r="G43" i="93"/>
  <c r="G45" i="93" s="1"/>
  <c r="G36" i="92"/>
  <c r="G53" i="92"/>
  <c r="G69" i="92" s="1"/>
  <c r="D36" i="92"/>
  <c r="E30" i="92"/>
  <c r="H47" i="92"/>
  <c r="H8" i="94"/>
  <c r="E8" i="94"/>
  <c r="E14" i="94"/>
  <c r="H38" i="94"/>
  <c r="E30" i="94"/>
  <c r="E11" i="94"/>
  <c r="E17" i="94"/>
  <c r="H11" i="94"/>
  <c r="H14" i="94"/>
  <c r="H6" i="93"/>
  <c r="D43" i="93"/>
  <c r="D45" i="93" s="1"/>
  <c r="C53" i="92"/>
  <c r="H68" i="92"/>
  <c r="F53" i="92"/>
  <c r="F69" i="92" s="1"/>
  <c r="E7" i="92"/>
  <c r="H24" i="92"/>
  <c r="H69" i="92" l="1"/>
  <c r="H45" i="93"/>
  <c r="H43" i="93"/>
  <c r="E36" i="92"/>
  <c r="H36" i="92"/>
  <c r="H53" i="92"/>
  <c r="E68" i="92"/>
  <c r="E45" i="93"/>
  <c r="E43" i="93"/>
  <c r="C69" i="92"/>
  <c r="E69" i="92" s="1"/>
  <c r="E53" i="92"/>
  <c r="B1" i="80" l="1"/>
  <c r="G24" i="80"/>
  <c r="F24" i="80"/>
  <c r="E24" i="80"/>
  <c r="D24" i="80"/>
  <c r="C24" i="80"/>
  <c r="G18" i="80"/>
  <c r="F18" i="80"/>
  <c r="E18" i="80"/>
  <c r="D18" i="80"/>
  <c r="C18" i="80"/>
  <c r="G14" i="80"/>
  <c r="F14" i="80"/>
  <c r="E14" i="80"/>
  <c r="D14" i="80"/>
  <c r="C14" i="80"/>
  <c r="G11" i="80"/>
  <c r="F11" i="80"/>
  <c r="E11" i="80"/>
  <c r="D11" i="80"/>
  <c r="C11" i="80"/>
  <c r="G8" i="80"/>
  <c r="F8" i="80"/>
  <c r="E8" i="80"/>
  <c r="D8" i="80"/>
  <c r="C8" i="80"/>
  <c r="G21" i="80" l="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N14" i="37" l="1"/>
  <c r="E14" i="37"/>
  <c r="E7" i="37"/>
  <c r="C21" i="37"/>
  <c r="N8" i="37"/>
  <c r="E21" i="37" l="1"/>
  <c r="C12" i="79" s="1"/>
  <c r="C18" i="79" s="1"/>
  <c r="N7" i="37"/>
  <c r="N21" i="37" s="1"/>
  <c r="K7" i="37"/>
  <c r="K21" i="37" s="1"/>
  <c r="C36" i="79" l="1"/>
  <c r="C38" i="79" s="1"/>
  <c r="C5" i="73"/>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 r="G37" i="80"/>
  <c r="G39" i="80" s="1"/>
</calcChain>
</file>

<file path=xl/sharedStrings.xml><?xml version="1.0" encoding="utf-8"?>
<sst xmlns="http://schemas.openxmlformats.org/spreadsheetml/2006/main" count="1597" uniqueCount="1000">
  <si>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</si>
  <si>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</si>
  <si>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</si>
  <si>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</si>
  <si>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</si>
  <si>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</si>
  <si>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</si>
  <si>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</si>
  <si>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</si>
  <si>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</si>
  <si>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</si>
  <si>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</si>
  <si>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</si>
  <si>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</si>
  <si>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</si>
  <si>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</si>
  <si>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</si>
  <si>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</si>
  <si>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</si>
  <si>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</si>
  <si>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</si>
  <si>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</si>
  <si>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</si>
  <si>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</si>
  <si>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</si>
  <si>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</si>
  <si>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</si>
  <si>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</si>
  <si>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</si>
  <si>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</si>
  <si>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</si>
  <si>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</si>
  <si>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</si>
  <si>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</si>
  <si>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</si>
  <si>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</si>
  <si>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</si>
  <si>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</si>
  <si>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</si>
  <si>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</si>
  <si>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</si>
  <si>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</si>
  <si>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</si>
  <si>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</si>
  <si>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</si>
  <si>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</si>
  <si>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</si>
  <si>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</si>
  <si>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</si>
  <si>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</si>
  <si>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</si>
  <si>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</si>
  <si>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</si>
  <si>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</si>
  <si>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</si>
  <si>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</si>
  <si>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</si>
  <si>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</si>
  <si>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</si>
  <si>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</si>
  <si>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</si>
  <si>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</si>
  <si>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</si>
  <si>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</si>
  <si>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</si>
  <si>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</si>
  <si>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</si>
  <si>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</si>
  <si>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</si>
  <si>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</si>
  <si>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</si>
  <si>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</si>
  <si>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</si>
  <si>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</si>
  <si>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</si>
  <si>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</si>
  <si>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</si>
  <si>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</si>
  <si>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</si>
  <si>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</si>
  <si>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</si>
  <si>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</si>
  <si>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</si>
  <si>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</si>
  <si>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</si>
  <si>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</si>
  <si>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</si>
  <si>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</si>
  <si>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</si>
  <si>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</si>
  <si>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</si>
  <si>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</si>
  <si>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</si>
  <si>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</si>
  <si>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</si>
  <si>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</si>
  <si>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</si>
  <si>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</si>
  <si>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</si>
  <si>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</si>
  <si>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</si>
  <si>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</si>
  <si>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</si>
  <si>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</si>
  <si>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</si>
  <si>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</si>
  <si>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</si>
  <si>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</si>
  <si>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</si>
  <si>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</si>
  <si>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</si>
  <si>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</si>
  <si>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</si>
  <si>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</si>
  <si>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</si>
  <si>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</si>
  <si>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</si>
  <si>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</si>
  <si>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</si>
  <si>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</si>
  <si>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</si>
  <si>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</si>
  <si>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</si>
  <si>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</si>
  <si>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</si>
  <si>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</si>
  <si>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</si>
  <si>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</si>
  <si>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</si>
  <si>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</si>
  <si>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</si>
  <si>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</si>
  <si>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</si>
  <si>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</si>
  <si>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</si>
  <si>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</si>
  <si>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</si>
  <si>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</si>
  <si>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</si>
  <si>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</si>
  <si>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</si>
  <si>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</si>
  <si>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</si>
  <si>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</si>
  <si>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</si>
  <si>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</si>
  <si>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</si>
  <si>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</si>
  <si>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</si>
  <si>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</si>
  <si>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</si>
  <si>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</si>
  <si>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</si>
  <si>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</si>
  <si>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</si>
  <si>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</si>
  <si>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</si>
  <si>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</si>
  <si>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</si>
  <si>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</si>
  <si>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</si>
  <si>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</si>
  <si>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</si>
  <si>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</si>
  <si>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</si>
  <si>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</si>
  <si>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</si>
  <si>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</si>
  <si>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</si>
  <si>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</si>
  <si>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</si>
  <si>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</si>
  <si>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</si>
  <si>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</si>
  <si>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</si>
  <si>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</si>
  <si>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</si>
  <si>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</si>
  <si>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</si>
  <si>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</si>
  <si>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</si>
  <si>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</si>
  <si>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</si>
  <si>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</si>
  <si>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</si>
  <si>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</si>
  <si>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</si>
  <si>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</si>
  <si>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</si>
  <si>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</si>
  <si>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</si>
  <si>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</si>
  <si>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</si>
  <si>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</si>
  <si>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</si>
  <si>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</si>
  <si>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</si>
  <si>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</si>
  <si>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</si>
  <si>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</si>
  <si>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</si>
  <si>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</si>
  <si>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</si>
  <si>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</si>
  <si>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</si>
  <si>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</si>
  <si>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</si>
  <si>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</si>
  <si>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</si>
  <si>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</si>
  <si>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</si>
  <si>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</si>
  <si>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</si>
  <si>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</si>
  <si>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</si>
  <si>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</si>
  <si>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</si>
  <si>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</si>
  <si>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</si>
  <si>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</si>
  <si>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</si>
  <si>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</si>
  <si>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</si>
  <si>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</si>
  <si>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</si>
  <si>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</si>
  <si>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</si>
  <si>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</si>
  <si>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</si>
  <si>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</si>
  <si>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</si>
  <si>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</si>
  <si>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</si>
  <si>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</si>
  <si>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</si>
  <si>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</si>
  <si>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</si>
  <si>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</si>
  <si>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</si>
  <si>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</si>
  <si>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</si>
  <si>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</si>
  <si>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</si>
  <si>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</si>
  <si>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</si>
  <si>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</si>
  <si>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</si>
  <si>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</si>
  <si>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</si>
  <si>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</si>
  <si>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</si>
  <si>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</si>
  <si>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</si>
  <si>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</si>
  <si>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</si>
  <si>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</si>
  <si>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</si>
  <si>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</si>
  <si>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</si>
  <si>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</si>
  <si>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</si>
  <si>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</si>
  <si>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</si>
  <si>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</si>
  <si>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</si>
  <si>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</si>
  <si>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</si>
  <si>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</si>
  <si>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</si>
  <si>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</si>
  <si>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</si>
  <si>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</si>
  <si>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</si>
  <si>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</si>
  <si>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</si>
  <si>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</si>
  <si>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</si>
  <si>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</si>
  <si>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</si>
  <si>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</si>
  <si>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</si>
  <si>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</si>
  <si>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</si>
  <si>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</si>
  <si>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</si>
  <si>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</si>
  <si>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</si>
  <si>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</si>
  <si>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</si>
  <si>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</si>
  <si>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</si>
  <si>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</si>
  <si>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</si>
  <si>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</si>
  <si>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</si>
  <si>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</si>
  <si>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</si>
  <si>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</si>
  <si>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</si>
  <si>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</si>
  <si>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</si>
  <si>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</si>
  <si>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</si>
  <si>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</si>
  <si>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</si>
  <si>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</si>
  <si>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</si>
  <si>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</si>
  <si>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</si>
  <si>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</si>
  <si>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</si>
  <si>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</si>
  <si>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</si>
  <si>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</si>
  <si>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</si>
  <si>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</si>
  <si>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</si>
  <si>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</si>
  <si>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</si>
  <si>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</si>
  <si>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</si>
  <si>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</si>
  <si>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</si>
  <si>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</si>
  <si>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</si>
  <si>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</si>
  <si>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</si>
  <si>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</si>
  <si>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</si>
  <si>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</si>
  <si>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</si>
  <si>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</si>
  <si>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</si>
  <si>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</si>
  <si>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</si>
  <si>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</si>
  <si>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</si>
  <si>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</si>
  <si>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</si>
  <si>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</si>
  <si>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</si>
  <si>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</si>
  <si>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</si>
  <si>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</si>
  <si>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</si>
  <si>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</si>
  <si>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</si>
  <si>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</si>
  <si>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</si>
  <si>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</si>
  <si>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</si>
  <si>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</si>
  <si>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</si>
  <si>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</si>
  <si>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</si>
  <si>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</si>
  <si>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</si>
  <si>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</si>
  <si>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</si>
  <si>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</si>
  <si>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</si>
  <si>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</si>
  <si>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</si>
  <si>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</si>
  <si>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</si>
  <si>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</si>
  <si>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</si>
  <si>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</si>
  <si>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</si>
  <si>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</si>
  <si>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</si>
  <si>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</si>
  <si>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</si>
  <si>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</si>
  <si>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</si>
  <si>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</si>
  <si>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</si>
  <si>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</si>
  <si>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</si>
  <si>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</si>
  <si>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</si>
  <si>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</si>
  <si>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</si>
  <si>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</si>
  <si>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</si>
  <si>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</si>
  <si>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</si>
  <si>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</si>
  <si>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</si>
  <si>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</si>
  <si>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</si>
  <si>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</si>
  <si>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</si>
  <si>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</si>
  <si>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</si>
  <si>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</si>
  <si>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</si>
  <si>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</si>
  <si>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</si>
  <si>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</si>
  <si>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</si>
  <si>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</si>
  <si>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</si>
  <si>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</si>
  <si>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</si>
  <si>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</si>
  <si>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</si>
  <si>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</si>
  <si>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</si>
  <si>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</si>
  <si>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</si>
  <si>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</si>
  <si>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</si>
  <si>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</si>
  <si>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</si>
  <si>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</si>
  <si>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</si>
  <si>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</si>
  <si>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</si>
  <si>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</si>
  <si>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</si>
  <si>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</si>
  <si>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</si>
  <si>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</si>
  <si>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</si>
  <si>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</si>
  <si>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</si>
  <si>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</si>
  <si>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</si>
  <si>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</si>
  <si>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</si>
  <si>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</si>
  <si>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</si>
  <si>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</si>
  <si>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</si>
  <si>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</si>
  <si>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</si>
  <si>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</si>
  <si>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</si>
  <si>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</si>
  <si>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</si>
  <si>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</si>
  <si>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</si>
  <si>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</si>
  <si>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</si>
  <si>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</si>
  <si>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</si>
  <si>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</si>
  <si>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</si>
  <si>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</si>
  <si>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</si>
  <si>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</si>
  <si>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</si>
  <si>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</si>
  <si>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</si>
  <si>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</si>
  <si>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</si>
  <si>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</si>
  <si>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</si>
  <si>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</si>
  <si>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</si>
  <si>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</si>
  <si>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</si>
  <si>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</si>
  <si>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</si>
  <si>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</si>
  <si>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</si>
  <si>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</si>
  <si>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</si>
  <si>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</si>
  <si>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</si>
  <si>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</si>
  <si>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</si>
  <si>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</si>
  <si>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</si>
  <si>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</si>
  <si>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</si>
  <si>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</si>
  <si>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</si>
  <si>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</si>
  <si>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</si>
  <si>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</si>
  <si>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</si>
  <si>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</si>
  <si>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</si>
  <si>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</si>
  <si>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</si>
  <si>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</si>
  <si>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</si>
  <si>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</si>
  <si>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</si>
  <si>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</si>
  <si>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</si>
  <si>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</si>
  <si>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</si>
  <si>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</si>
  <si>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</si>
  <si>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</si>
  <si>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</si>
  <si>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</si>
  <si>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</si>
  <si>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</si>
  <si>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</si>
  <si>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</si>
  <si>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</si>
  <si>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</si>
  <si>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</si>
  <si>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</si>
  <si>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</si>
  <si>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</si>
  <si>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</si>
  <si>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</si>
  <si>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</si>
  <si>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</si>
  <si>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</si>
  <si>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</si>
  <si>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</si>
  <si>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</si>
  <si>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</si>
  <si>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</si>
  <si>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</si>
  <si>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</si>
  <si>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</si>
  <si>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</si>
  <si>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</si>
  <si>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</si>
  <si>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</si>
  <si>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</si>
  <si>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</si>
  <si>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</si>
  <si>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</si>
  <si>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</si>
  <si>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</si>
  <si>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</si>
  <si>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</si>
  <si>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</si>
  <si>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</si>
  <si>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</si>
  <si>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</si>
  <si>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</si>
  <si>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</si>
  <si>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</si>
  <si>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</si>
  <si>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</si>
  <si>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</si>
  <si>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</si>
  <si>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</si>
  <si>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</si>
  <si>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</si>
  <si>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</si>
  <si>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</si>
  <si>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</si>
  <si>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</si>
  <si>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</si>
  <si>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</si>
  <si>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</si>
  <si>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</si>
  <si>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</si>
  <si>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</si>
  <si>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</si>
  <si>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</si>
  <si>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</si>
  <si>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</si>
  <si>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</si>
  <si>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</si>
  <si>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</si>
  <si>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</si>
  <si>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</si>
  <si>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</si>
  <si>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</si>
  <si>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</si>
  <si>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</si>
  <si>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</si>
  <si>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</si>
  <si>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</si>
  <si>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</si>
  <si>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</si>
  <si>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</si>
  <si>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</si>
  <si>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</si>
  <si>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</si>
  <si>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</si>
  <si>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</si>
  <si>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</si>
  <si>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</si>
  <si>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</si>
  <si>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</si>
  <si>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</si>
  <si>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</si>
  <si>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</si>
  <si>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</si>
  <si>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</si>
  <si>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</si>
  <si>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</si>
  <si>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</si>
  <si>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</si>
  <si>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</si>
  <si>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</si>
  <si>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</si>
  <si>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</si>
  <si>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</si>
  <si>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</si>
  <si>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</si>
  <si>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</si>
  <si>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</si>
  <si>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</si>
  <si>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</si>
  <si>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</si>
  <si>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</si>
  <si>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</si>
  <si>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</si>
  <si>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</si>
  <si>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</si>
  <si>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</si>
  <si>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</si>
  <si>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</si>
  <si>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</si>
  <si>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</si>
  <si>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</si>
  <si>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</si>
  <si>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</si>
  <si>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</si>
  <si>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</si>
  <si>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</si>
  <si>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</si>
  <si>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</si>
  <si>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</si>
  <si>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</si>
  <si>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</si>
  <si>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</si>
  <si>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</si>
  <si>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</si>
  <si>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</si>
  <si>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</si>
  <si>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</si>
  <si>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</si>
  <si>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</si>
  <si>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</si>
  <si>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</si>
  <si>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</si>
  <si>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</si>
  <si>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</si>
  <si>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</si>
  <si>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</si>
  <si>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</si>
  <si>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</si>
  <si>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</si>
  <si>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</si>
  <si>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</si>
  <si>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</si>
  <si>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</si>
  <si>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</si>
  <si>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</si>
  <si>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</si>
  <si>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</si>
  <si>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</si>
  <si>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</si>
  <si>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</si>
  <si>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</si>
  <si>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</si>
  <si>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</si>
  <si>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</si>
  <si>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</si>
  <si>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</si>
  <si>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</si>
  <si>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</si>
  <si>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</si>
  <si>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</si>
  <si>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</si>
  <si>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</si>
  <si>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</si>
  <si>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</si>
  <si>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</si>
  <si>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</si>
  <si>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</si>
  <si>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</si>
  <si>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</si>
  <si>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</si>
  <si>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</si>
  <si>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</si>
  <si>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</si>
  <si>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</si>
  <si>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</si>
  <si>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</si>
  <si>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</si>
  <si>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</si>
  <si>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</si>
  <si>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</si>
  <si>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</si>
  <si>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</si>
  <si>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</si>
  <si>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</si>
  <si>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</si>
  <si>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</si>
  <si>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</si>
  <si>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</si>
  <si>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</si>
  <si>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</si>
  <si>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</si>
  <si>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</si>
  <si>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</si>
  <si>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</si>
  <si>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</si>
  <si>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</si>
  <si>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</si>
  <si>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</si>
  <si>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</si>
  <si>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</si>
  <si>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</si>
  <si>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</si>
  <si>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</si>
  <si>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</si>
  <si>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</si>
  <si>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</si>
  <si>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</si>
  <si>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</si>
  <si>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</si>
  <si>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</si>
  <si>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</si>
  <si>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</si>
  <si>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</si>
  <si>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</si>
  <si>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</si>
  <si>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</si>
  <si>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</si>
  <si>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</si>
  <si>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</si>
  <si>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</si>
  <si>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</si>
  <si>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</si>
  <si>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</si>
  <si>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</si>
  <si>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</si>
  <si>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</si>
  <si>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</si>
  <si>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</si>
  <si>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</si>
  <si>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</si>
  <si>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</si>
  <si>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</si>
  <si>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</si>
  <si>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</si>
  <si>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</si>
  <si>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</si>
  <si>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</si>
  <si>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</si>
  <si>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</si>
  <si>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</si>
  <si>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</si>
  <si>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</si>
  <si>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</si>
  <si>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</si>
  <si>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</si>
  <si>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</si>
  <si>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</si>
  <si>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</si>
  <si>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</si>
  <si>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</si>
  <si>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</si>
  <si>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</si>
  <si>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</si>
  <si>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</si>
  <si>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</si>
  <si>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</si>
  <si>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</si>
  <si>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</si>
  <si>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</si>
  <si>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</si>
  <si>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</si>
  <si>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</si>
  <si>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</si>
  <si>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</si>
  <si>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</si>
  <si>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</si>
  <si>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</si>
  <si>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</si>
  <si>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</si>
  <si>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</si>
  <si>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</si>
  <si>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</si>
  <si>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</si>
  <si>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</si>
  <si>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</si>
  <si>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</si>
  <si>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</si>
  <si>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</si>
  <si>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</si>
  <si>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</si>
  <si>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</si>
  <si>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</si>
  <si>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</si>
  <si>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</si>
  <si>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</si>
  <si>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</si>
  <si>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</si>
  <si>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</si>
  <si>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</si>
  <si>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</si>
  <si>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</si>
  <si>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</si>
  <si>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</si>
  <si>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</si>
  <si>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</si>
  <si>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</si>
  <si>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</si>
  <si>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</si>
  <si>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</si>
  <si>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</si>
  <si>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</si>
  <si>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</si>
  <si>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</si>
  <si>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</si>
  <si>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</si>
  <si>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</si>
  <si>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</si>
  <si>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</si>
  <si>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</si>
  <si>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</si>
  <si>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</si>
  <si>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</si>
  <si>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</si>
  <si>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</si>
  <si>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</si>
  <si>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</si>
  <si>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</si>
  <si>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</si>
  <si>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</si>
  <si>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</si>
  <si>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</si>
  <si>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</si>
  <si>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</si>
  <si>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</si>
  <si>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</si>
  <si>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</si>
  <si>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</si>
  <si>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</si>
  <si>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</si>
  <si>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</si>
  <si>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</si>
  <si>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</si>
  <si>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</si>
  <si>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</si>
  <si>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</si>
  <si>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</si>
  <si>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</si>
  <si>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</si>
  <si>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</si>
  <si>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</si>
  <si>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</si>
  <si>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</si>
  <si>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</si>
  <si>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</si>
  <si>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</si>
  <si>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</si>
  <si>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</si>
  <si>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</si>
  <si>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</si>
  <si>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</si>
  <si>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</si>
  <si>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</si>
  <si>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</si>
  <si>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</si>
  <si>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</si>
  <si>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</si>
  <si>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</si>
  <si>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</si>
  <si>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</si>
  <si>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</si>
  <si>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</si>
  <si>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</si>
  <si>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</si>
  <si>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</si>
  <si>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</si>
  <si>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</si>
  <si>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</si>
  <si>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</si>
  <si>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</si>
  <si>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</si>
  <si>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</si>
  <si>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</si>
  <si>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</si>
  <si>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</si>
  <si>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</si>
  <si>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</si>
  <si>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</si>
  <si>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</si>
  <si>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</si>
  <si>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</si>
  <si>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</si>
  <si>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</si>
  <si>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</si>
  <si>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</si>
  <si>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</si>
  <si>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</si>
  <si>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</si>
  <si>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</si>
  <si>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</si>
  <si>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</si>
  <si>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</si>
  <si>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</si>
  <si>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</si>
  <si>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</si>
  <si>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</si>
  <si>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</si>
  <si>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</si>
  <si>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მოსლაოდნელი საკრედიტო ზარალი</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</si>
  <si>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</si>
  <si>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</si>
  <si>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</si>
  <si>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</si>
  <si>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</si>
  <si>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</si>
  <si>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</si>
  <si>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</si>
  <si>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</si>
  <si>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</si>
  <si>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</si>
  <si>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</si>
  <si>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მოსალოდნელი საკრედიტო ზარალი IFRS 9-ის შესაბამისად</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</si>
  <si>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</si>
  <si>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</si>
  <si>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</si>
  <si>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IFRS 9-ის შესაბამისად.</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</si>
  <si>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</si>
  <si>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</si>
  <si>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1.1 ველში შემავალი უზრუნველყოფილი სესხების მოსალოდნელი საკრედიტო ზარალი IFRS 9-ის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</si>
  <si>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</si>
  <si>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</si>
  <si>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</si>
  <si>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</si>
  <si>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</si>
  <si>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</si>
  <si>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</si>
  <si>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</si>
  <si>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</si>
  <si>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</si>
  <si>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</si>
  <si>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</si>
  <si>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</si>
  <si>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</si>
  <si>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</si>
  <si>
    <t>მე- 22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</si>
  <si>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</si>
  <si>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</si>
  <si>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</si>
  <si>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</si>
  <si>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</si>
  <si>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</si>
  <si>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</si>
  <si>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</si>
  <si>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</si>
  <si>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</si>
  <si>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</si>
  <si>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</si>
  <si>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</si>
  <si>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</si>
  <si>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Thomas Engelhardt (Germany)</t>
  </si>
  <si>
    <t>Farah, Katia Chams (Netherlands)</t>
  </si>
  <si>
    <t>Paul-Catalin Panciu (Romania)</t>
  </si>
  <si>
    <t>დამოუკიდებელი წევრი</t>
  </si>
  <si>
    <t>Johannes Mainhardt (Germany)</t>
  </si>
  <si>
    <t>Andrew Pospielovsky (Great Britain)</t>
  </si>
  <si>
    <t>Olga Tomash (Ukraine)</t>
  </si>
  <si>
    <t>ზაალ ფირცხელავა</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</si>
  <si>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</si>
  <si>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</si>
  <si>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</si>
  <si>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</si>
  <si>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</si>
  <si>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</si>
  <si>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</si>
  <si>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</si>
  <si>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</si>
  <si>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გიორგი ნადარეიშვილი</t>
  </si>
  <si>
    <t>რისკების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</si>
  <si>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</si>
  <si>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</si>
  <si>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</si>
  <si>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</si>
  <si>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</si>
  <si>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</si>
  <si>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</si>
  <si>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British International Investment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</si>
  <si>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</si>
  <si>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</si>
  <si>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</si>
  <si>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</si>
  <si>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</si>
  <si>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Active Citizenship Trust (USA)</t>
  </si>
  <si>
    <t>Agence Francaise de developpement</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</si>
  <si>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</si>
  <si>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</si>
  <si>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</si>
  <si>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</si>
  <si>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</si>
  <si>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კრედო</t>
  </si>
  <si>
    <t>თომას ენგელჰარდტი</t>
  </si>
  <si>
    <t>www.credo.ge</t>
  </si>
  <si>
    <t>არადამოუკიდებელ წევრი</t>
  </si>
  <si>
    <t>არადამოუკიდებელ წევრი-თავმჯდომარე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</si>
</sst>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 numFmtId="195" formatCode="_(* #,##0.0_);_(* \(#,##0.0\);_(* &quot;-&quot;??_);_(@_)"/>
    <numFmt numFmtId="196" formatCode="_(* #,##0.0000000_);_(* \(#,##0.0000000\);_(* &quot;-&quot;??_);_(@_)"/>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9"/>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9"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41"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7" fillId="0" borderId="43" applyNumberFormat="0" applyFill="0" applyAlignment="0" applyProtection="0"/>
    <xf numFmtId="169"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9"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0" fontId="66" fillId="43" borderId="38"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4"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0" fontId="69" fillId="0" borderId="44"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0" fontId="69"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5"/>
    <xf numFmtId="169" fontId="26" fillId="0" borderId="45"/>
    <xf numFmtId="168"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9"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9"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9"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25" fillId="0" borderId="49"/>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9"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88" fontId="2" fillId="70" borderId="98" applyFont="0">
      <alignment horizontal="right" vertical="center"/>
    </xf>
    <xf numFmtId="3" fontId="2" fillId="70" borderId="98" applyFont="0">
      <alignment horizontal="right" vertical="center"/>
    </xf>
    <xf numFmtId="0" fontId="83"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9"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3" fontId="2" fillId="75" borderId="98" applyFont="0">
      <alignment horizontal="right" vertical="center"/>
      <protection locked="0"/>
    </xf>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3" fontId="2" fillId="72" borderId="98" applyFont="0">
      <alignment horizontal="right" vertical="center"/>
      <protection locked="0"/>
    </xf>
    <xf numFmtId="0" fontId="66"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9"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2" fillId="71" borderId="99" applyNumberFormat="0" applyFont="0" applyBorder="0" applyProtection="0">
      <alignment horizontal="left" vertical="center"/>
    </xf>
    <xf numFmtId="9" fontId="2" fillId="71" borderId="98" applyFont="0" applyProtection="0">
      <alignment horizontal="right" vertical="center"/>
    </xf>
    <xf numFmtId="3" fontId="2" fillId="71" borderId="98" applyFont="0" applyProtection="0">
      <alignment horizontal="right" vertical="center"/>
    </xf>
    <xf numFmtId="0" fontId="62" fillId="70" borderId="99" applyFont="0" applyBorder="0">
      <alignment horizontal="center" wrapText="1"/>
    </xf>
    <xf numFmtId="168" fontId="54" fillId="0" borderId="96">
      <alignment horizontal="left" vertical="center"/>
    </xf>
    <xf numFmtId="0" fontId="54" fillId="0" borderId="96">
      <alignment horizontal="left" vertical="center"/>
    </xf>
    <xf numFmtId="0" fontId="54" fillId="0" borderId="96">
      <alignment horizontal="left" vertical="center"/>
    </xf>
    <xf numFmtId="0" fontId="2" fillId="69" borderId="98" applyNumberFormat="0" applyFont="0" applyBorder="0" applyProtection="0">
      <alignment horizontal="center" vertical="center"/>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8"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9"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992">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6" xfId="0" applyFont="1" applyBorder="1"/>
    <xf numFmtId="0" fontId="12"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1" xfId="0" applyFont="1" applyBorder="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4" xfId="0" applyFont="1" applyBorder="1"/>
    <xf numFmtId="0" fontId="20" fillId="0" borderId="22" xfId="0" applyFont="1" applyBorder="1" applyAlignment="1">
      <alignment horizontal="center" vertical="center" wrapText="1"/>
    </xf>
    <xf numFmtId="0" fontId="4" fillId="0" borderId="55" xfId="0" applyFont="1" applyBorder="1"/>
    <xf numFmtId="0" fontId="7" fillId="0" borderId="16"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60" xfId="0" applyNumberFormat="1" applyFont="1" applyBorder="1" applyAlignment="1">
      <alignment horizontal="center"/>
    </xf>
    <xf numFmtId="167" fontId="23" fillId="0" borderId="58" xfId="0" applyNumberFormat="1" applyFont="1" applyBorder="1" applyAlignment="1">
      <alignment horizontal="center"/>
    </xf>
    <xf numFmtId="167" fontId="19" fillId="0" borderId="58" xfId="0" applyNumberFormat="1" applyFont="1" applyBorder="1" applyAlignment="1">
      <alignment horizontal="center"/>
    </xf>
    <xf numFmtId="167" fontId="23" fillId="0" borderId="61" xfId="0" applyNumberFormat="1" applyFont="1" applyBorder="1" applyAlignment="1">
      <alignment horizontal="center"/>
    </xf>
    <xf numFmtId="167" fontId="23" fillId="0" borderId="62"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3" xfId="0" applyFont="1" applyBorder="1"/>
    <xf numFmtId="0" fontId="4" fillId="0" borderId="17" xfId="0" applyFont="1" applyBorder="1"/>
    <xf numFmtId="0" fontId="4" fillId="0" borderId="22" xfId="0" applyFont="1" applyBorder="1"/>
    <xf numFmtId="0" fontId="7" fillId="3" borderId="20" xfId="13" applyFont="1" applyFill="1" applyBorder="1" applyAlignment="1" applyProtection="1">
      <alignment horizontal="left" vertical="center"/>
      <protection locked="0"/>
    </xf>
    <xf numFmtId="0" fontId="7" fillId="3" borderId="19" xfId="5" applyFont="1" applyFill="1" applyBorder="1" applyAlignment="1" applyProtection="1">
      <alignment horizontal="right" vertical="center"/>
      <protection locked="0"/>
    </xf>
    <xf numFmtId="0" fontId="15"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4"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02"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5" fillId="0" borderId="17"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8" xfId="0" applyFont="1" applyFill="1" applyBorder="1" applyAlignment="1">
      <alignment wrapText="1"/>
    </xf>
    <xf numFmtId="0" fontId="15"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9"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22"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6" xfId="0" applyNumberFormat="1" applyFont="1" applyBorder="1" applyAlignment="1">
      <alignment horizontal="right" vertical="center"/>
    </xf>
    <xf numFmtId="49" fontId="106" fillId="0" borderId="79" xfId="0" applyNumberFormat="1" applyFont="1" applyBorder="1" applyAlignment="1">
      <alignment horizontal="right" vertical="center"/>
    </xf>
    <xf numFmtId="49" fontId="106" fillId="0" borderId="84" xfId="0" applyNumberFormat="1" applyFont="1" applyBorder="1" applyAlignment="1">
      <alignment horizontal="right" vertical="center"/>
    </xf>
    <xf numFmtId="0" fontId="106" fillId="0" borderId="0" xfId="0" applyFont="1" applyAlignment="1">
      <alignment horizontal="left"/>
    </xf>
    <xf numFmtId="0" fontId="106" fillId="0" borderId="84"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0" xfId="2" applyNumberFormat="1" applyFont="1" applyFill="1" applyBorder="1" applyAlignment="1" applyProtection="1">
      <alignment vertical="top"/>
    </xf>
    <xf numFmtId="193" fontId="7" fillId="3" borderId="20" xfId="2" applyNumberFormat="1" applyFont="1" applyFill="1" applyBorder="1" applyAlignment="1" applyProtection="1">
      <alignment vertical="top"/>
      <protection locked="0"/>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19" fillId="0" borderId="13" xfId="0" applyNumberFormat="1" applyFont="1" applyBorder="1" applyAlignment="1">
      <alignment vertical="center"/>
    </xf>
    <xf numFmtId="193" fontId="4" fillId="0" borderId="3" xfId="0" applyNumberFormat="1" applyFont="1" applyBorder="1"/>
    <xf numFmtId="193" fontId="4" fillId="36" borderId="23" xfId="0" applyNumberFormat="1" applyFont="1" applyFill="1" applyBorder="1"/>
    <xf numFmtId="193" fontId="4" fillId="0" borderId="19" xfId="0" applyNumberFormat="1" applyFont="1" applyBorder="1"/>
    <xf numFmtId="193" fontId="4" fillId="0" borderId="20" xfId="0" applyNumberFormat="1" applyFont="1" applyBorder="1"/>
    <xf numFmtId="193" fontId="4" fillId="36" borderId="51"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3" fillId="0" borderId="0" xfId="0" applyNumberFormat="1" applyFont="1"/>
    <xf numFmtId="0" fontId="4" fillId="0" borderId="26" xfId="0" applyFont="1" applyBorder="1" applyAlignment="1">
      <alignment horizontal="center" vertical="center"/>
    </xf>
    <xf numFmtId="193" fontId="4" fillId="0" borderId="8" xfId="0" applyNumberFormat="1" applyFont="1" applyBorder="1"/>
    <xf numFmtId="0" fontId="4" fillId="0" borderId="26" xfId="0" applyFont="1" applyBorder="1" applyAlignment="1">
      <alignment wrapText="1"/>
    </xf>
    <xf numFmtId="193" fontId="4" fillId="0" borderId="21" xfId="0" applyNumberFormat="1" applyFont="1" applyBorder="1"/>
    <xf numFmtId="193" fontId="4" fillId="0" borderId="21"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1" applyFont="1" applyBorder="1"/>
    <xf numFmtId="9" fontId="4" fillId="36" borderId="24" xfId="20961" applyFont="1" applyFill="1" applyBorder="1"/>
    <xf numFmtId="167" fontId="4" fillId="0" borderId="20" xfId="0" applyNumberFormat="1" applyFont="1" applyBorder="1"/>
    <xf numFmtId="167" fontId="6" fillId="36" borderId="23" xfId="0" applyNumberFormat="1" applyFont="1" applyFill="1" applyBorder="1" applyAlignment="1">
      <alignment horizontal="center" vertical="center"/>
    </xf>
    <xf numFmtId="0" fontId="9" fillId="0" borderId="16" xfId="0" applyFont="1" applyBorder="1" applyAlignment="1">
      <alignment horizontal="right" vertical="center" wrapText="1"/>
    </xf>
    <xf numFmtId="0" fontId="7" fillId="0" borderId="17" xfId="0" applyFont="1" applyBorder="1" applyAlignment="1">
      <alignment vertical="center" wrapText="1"/>
    </xf>
    <xf numFmtId="169" fontId="26" fillId="37" borderId="0" xfId="20"/>
    <xf numFmtId="169" fontId="26" fillId="37" borderId="92" xfId="20" applyBorder="1"/>
    <xf numFmtId="0" fontId="4" fillId="0" borderId="7" xfId="0" applyFont="1" applyBorder="1" applyAlignment="1">
      <alignment vertical="center"/>
    </xf>
    <xf numFmtId="0" fontId="4" fillId="0" borderId="98" xfId="0" applyFont="1" applyBorder="1" applyAlignment="1">
      <alignment vertical="center"/>
    </xf>
    <xf numFmtId="0" fontId="4" fillId="0" borderId="99" xfId="0" applyFont="1" applyBorder="1" applyAlignment="1">
      <alignment vertical="center"/>
    </xf>
    <xf numFmtId="0" fontId="6" fillId="0" borderId="98" xfId="0" applyFont="1" applyBorder="1" applyAlignment="1">
      <alignment vertical="center"/>
    </xf>
    <xf numFmtId="0" fontId="4" fillId="0" borderId="17"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0" fontId="4" fillId="0" borderId="16" xfId="0" applyFont="1" applyBorder="1" applyAlignment="1">
      <alignment horizontal="center" vertical="center"/>
    </xf>
    <xf numFmtId="0" fontId="4" fillId="0" borderId="106" xfId="0" applyFont="1" applyBorder="1" applyAlignment="1">
      <alignment horizontal="center" vertical="center"/>
    </xf>
    <xf numFmtId="0" fontId="4" fillId="0" borderId="108" xfId="0" applyFont="1" applyBorder="1" applyAlignment="1">
      <alignment horizontal="center" vertical="center"/>
    </xf>
    <xf numFmtId="169" fontId="26" fillId="37" borderId="29" xfId="20" applyBorder="1"/>
    <xf numFmtId="169" fontId="26" fillId="37" borderId="109" xfId="20" applyBorder="1"/>
    <xf numFmtId="169" fontId="26" fillId="37" borderId="100" xfId="20" applyBorder="1"/>
    <xf numFmtId="169" fontId="26" fillId="37" borderId="55" xfId="20" applyBorder="1"/>
    <xf numFmtId="0" fontId="4" fillId="3" borderId="63" xfId="0" applyFont="1" applyFill="1" applyBorder="1" applyAlignment="1">
      <alignment horizontal="center" vertical="center"/>
    </xf>
    <xf numFmtId="0" fontId="4" fillId="3" borderId="0" xfId="0" applyFont="1" applyFill="1" applyAlignment="1">
      <alignment vertical="center"/>
    </xf>
    <xf numFmtId="0" fontId="4" fillId="0" borderId="69" xfId="0" applyFont="1" applyBorder="1" applyAlignment="1">
      <alignment horizontal="center" vertical="center"/>
    </xf>
    <xf numFmtId="0" fontId="4" fillId="3" borderId="96" xfId="0" applyFont="1" applyFill="1" applyBorder="1" applyAlignment="1">
      <alignment vertical="center"/>
    </xf>
    <xf numFmtId="0" fontId="14" fillId="3" borderId="110" xfId="0" applyFont="1" applyFill="1" applyBorder="1" applyAlignment="1">
      <alignment horizontal="left"/>
    </xf>
    <xf numFmtId="0" fontId="14" fillId="3" borderId="111" xfId="0" applyFont="1" applyFill="1" applyBorder="1" applyAlignment="1">
      <alignment horizontal="left"/>
    </xf>
    <xf numFmtId="0" fontId="4" fillId="0" borderId="98" xfId="0" applyFont="1" applyBorder="1" applyAlignment="1">
      <alignment horizontal="center" vertical="center" wrapText="1"/>
    </xf>
    <xf numFmtId="0" fontId="106" fillId="0" borderId="86" xfId="0" applyFont="1" applyBorder="1" applyAlignment="1">
      <alignment horizontal="right" vertical="center"/>
    </xf>
    <xf numFmtId="0" fontId="4" fillId="0" borderId="112" xfId="0" applyFont="1" applyBorder="1" applyAlignment="1">
      <alignment horizontal="center" vertical="center" wrapText="1"/>
    </xf>
    <xf numFmtId="0" fontId="6" fillId="3" borderId="113" xfId="0" applyFont="1" applyFill="1" applyBorder="1" applyAlignment="1">
      <alignment vertical="center"/>
    </xf>
    <xf numFmtId="0" fontId="4" fillId="3" borderId="21" xfId="0" applyFont="1" applyFill="1" applyBorder="1" applyAlignment="1">
      <alignment vertical="center"/>
    </xf>
    <xf numFmtId="0" fontId="4" fillId="0" borderId="114" xfId="0" applyFont="1" applyBorder="1" applyAlignment="1">
      <alignment horizontal="center" vertical="center"/>
    </xf>
    <xf numFmtId="0" fontId="4" fillId="0" borderId="112" xfId="0" applyFont="1" applyBorder="1" applyAlignment="1">
      <alignment vertical="center"/>
    </xf>
    <xf numFmtId="0" fontId="6" fillId="0" borderId="23" xfId="0" applyFont="1" applyBorder="1" applyAlignment="1">
      <alignment vertical="center"/>
    </xf>
    <xf numFmtId="169" fontId="26" fillId="37" borderId="25" xfId="20" applyBorder="1"/>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7" fillId="0" borderId="16" xfId="11" applyFont="1" applyBorder="1" applyAlignment="1">
      <alignment vertical="center"/>
    </xf>
    <xf numFmtId="0" fontId="7" fillId="0" borderId="17" xfId="11" applyFont="1" applyBorder="1" applyAlignment="1">
      <alignment vertical="center"/>
    </xf>
    <xf numFmtId="0" fontId="15" fillId="0" borderId="18" xfId="11" applyFont="1" applyBorder="1" applyAlignment="1">
      <alignment horizontal="center" vertical="center"/>
    </xf>
    <xf numFmtId="0" fontId="0" fillId="0" borderId="114" xfId="0" applyBorder="1"/>
    <xf numFmtId="0" fontId="0" fillId="0" borderId="22" xfId="0" applyBorder="1"/>
    <xf numFmtId="0" fontId="6" fillId="36" borderId="115" xfId="0" applyFont="1" applyFill="1" applyBorder="1" applyAlignment="1">
      <alignment vertical="center" wrapText="1"/>
    </xf>
    <xf numFmtId="0" fontId="7" fillId="0" borderId="0" xfId="0" applyFont="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4"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6" fillId="36" borderId="112" xfId="0" applyFont="1" applyFill="1" applyBorder="1" applyAlignment="1">
      <alignment horizontal="left" vertical="center" wrapText="1"/>
    </xf>
    <xf numFmtId="0" fontId="4" fillId="0" borderId="114" xfId="0" applyFont="1" applyBorder="1" applyAlignment="1">
      <alignment horizontal="right" vertical="center" wrapText="1"/>
    </xf>
    <xf numFmtId="0" fontId="4" fillId="0" borderId="98" xfId="0" applyFont="1" applyBorder="1" applyAlignment="1">
      <alignment horizontal="left" vertical="center" wrapText="1"/>
    </xf>
    <xf numFmtId="0" fontId="109" fillId="0" borderId="114" xfId="0" applyFont="1" applyBorder="1" applyAlignment="1">
      <alignment horizontal="right" vertical="center" wrapText="1"/>
    </xf>
    <xf numFmtId="0" fontId="109" fillId="0" borderId="98" xfId="0" applyFont="1" applyBorder="1" applyAlignment="1">
      <alignment horizontal="left" vertical="center" wrapText="1"/>
    </xf>
    <xf numFmtId="0" fontId="6" fillId="0" borderId="114"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22" xfId="5" applyNumberFormat="1" applyFont="1" applyBorder="1" applyAlignment="1" applyProtection="1">
      <alignment horizontal="left" vertical="center"/>
      <protection locked="0"/>
    </xf>
    <xf numFmtId="0" fontId="111" fillId="0" borderId="23" xfId="9" applyFont="1" applyBorder="1" applyAlignment="1" applyProtection="1">
      <alignment horizontal="left" vertical="center" wrapText="1"/>
      <protection locked="0"/>
    </xf>
    <xf numFmtId="0" fontId="20" fillId="0" borderId="114" xfId="0" applyFont="1" applyBorder="1" applyAlignment="1">
      <alignment horizontal="center" vertical="center" wrapText="1"/>
    </xf>
    <xf numFmtId="3" fontId="21" fillId="36" borderId="98" xfId="0" applyNumberFormat="1" applyFont="1" applyFill="1" applyBorder="1" applyAlignment="1">
      <alignment vertical="center" wrapText="1"/>
    </xf>
    <xf numFmtId="3" fontId="21" fillId="36" borderId="112" xfId="0" applyNumberFormat="1" applyFont="1" applyFill="1" applyBorder="1" applyAlignment="1">
      <alignment vertical="center" wrapText="1"/>
    </xf>
    <xf numFmtId="14" fontId="7" fillId="3" borderId="98" xfId="8" quotePrefix="1" applyNumberFormat="1" applyFont="1" applyFill="1" applyBorder="1" applyAlignment="1" applyProtection="1">
      <alignment horizontal="left" vertical="center" wrapText="1" indent="2"/>
      <protection locked="0"/>
    </xf>
    <xf numFmtId="3" fontId="21" fillId="0" borderId="98" xfId="0" applyNumberFormat="1" applyFont="1" applyBorder="1" applyAlignment="1">
      <alignment vertical="center" wrapText="1"/>
    </xf>
    <xf numFmtId="14" fontId="7" fillId="3" borderId="98" xfId="8" quotePrefix="1" applyNumberFormat="1" applyFont="1" applyFill="1" applyBorder="1" applyAlignment="1" applyProtection="1">
      <alignment horizontal="left" vertical="center" wrapText="1" indent="3"/>
      <protection locked="0"/>
    </xf>
    <xf numFmtId="0" fontId="11" fillId="0" borderId="98" xfId="17" applyFill="1" applyBorder="1" applyAlignment="1" applyProtection="1"/>
    <xf numFmtId="49" fontId="109" fillId="0" borderId="114" xfId="0" applyNumberFormat="1" applyFont="1" applyBorder="1" applyAlignment="1">
      <alignment horizontal="right" vertical="center" wrapText="1"/>
    </xf>
    <xf numFmtId="0" fontId="7" fillId="3" borderId="98" xfId="20960" applyFont="1" applyFill="1" applyBorder="1"/>
    <xf numFmtId="0" fontId="103" fillId="0" borderId="98" xfId="20960" applyFont="1" applyBorder="1" applyAlignment="1">
      <alignment horizontal="center" vertical="center"/>
    </xf>
    <xf numFmtId="0" fontId="4" fillId="0" borderId="98" xfId="0" applyFont="1" applyBorder="1"/>
    <xf numFmtId="0" fontId="11" fillId="0" borderId="98" xfId="17" applyFill="1" applyBorder="1" applyAlignment="1" applyProtection="1">
      <alignment horizontal="left" vertical="center" wrapText="1"/>
    </xf>
    <xf numFmtId="49" fontId="109" fillId="0" borderId="98" xfId="0" applyNumberFormat="1" applyFont="1" applyBorder="1" applyAlignment="1">
      <alignment horizontal="right" vertical="center" wrapText="1"/>
    </xf>
    <xf numFmtId="0" fontId="11" fillId="0" borderId="98" xfId="17" applyFill="1" applyBorder="1" applyAlignment="1" applyProtection="1">
      <alignment horizontal="left" vertical="center"/>
    </xf>
    <xf numFmtId="0" fontId="112" fillId="78" borderId="99" xfId="21412" applyFont="1" applyFill="1" applyBorder="1" applyAlignment="1" applyProtection="1">
      <alignment vertical="center" wrapText="1"/>
      <protection locked="0"/>
    </xf>
    <xf numFmtId="0" fontId="113" fillId="70" borderId="94" xfId="21412" applyFont="1" applyFill="1" applyBorder="1" applyAlignment="1" applyProtection="1">
      <alignment horizontal="center" vertical="center"/>
      <protection locked="0"/>
    </xf>
    <xf numFmtId="0" fontId="112" fillId="79" borderId="98" xfId="21412" applyFont="1" applyFill="1" applyBorder="1" applyAlignment="1" applyProtection="1">
      <alignment horizontal="center" vertical="center"/>
      <protection locked="0"/>
    </xf>
    <xf numFmtId="0" fontId="112" fillId="78" borderId="99" xfId="21412" applyFont="1" applyFill="1" applyBorder="1" applyProtection="1">
      <alignment vertical="center"/>
      <protection locked="0"/>
    </xf>
    <xf numFmtId="0" fontId="114" fillId="70" borderId="94" xfId="21412" applyFont="1" applyFill="1" applyBorder="1" applyAlignment="1" applyProtection="1">
      <alignment horizontal="center" vertical="center"/>
      <protection locked="0"/>
    </xf>
    <xf numFmtId="0" fontId="114" fillId="3" borderId="94" xfId="21412" applyFont="1" applyFill="1" applyBorder="1" applyAlignment="1" applyProtection="1">
      <alignment horizontal="center" vertical="center"/>
      <protection locked="0"/>
    </xf>
    <xf numFmtId="0" fontId="114" fillId="0" borderId="94" xfId="21412" applyFont="1" applyBorder="1" applyAlignment="1" applyProtection="1">
      <alignment horizontal="center" vertical="center"/>
      <protection locked="0"/>
    </xf>
    <xf numFmtId="0" fontId="115" fillId="79" borderId="98" xfId="21412" applyFont="1" applyFill="1" applyBorder="1" applyAlignment="1" applyProtection="1">
      <alignment horizontal="center" vertical="center"/>
      <protection locked="0"/>
    </xf>
    <xf numFmtId="0" fontId="112" fillId="78" borderId="99" xfId="21412" applyFont="1" applyFill="1" applyBorder="1" applyAlignment="1" applyProtection="1">
      <alignment horizontal="center" vertical="center"/>
      <protection locked="0"/>
    </xf>
    <xf numFmtId="0" fontId="62" fillId="78" borderId="99" xfId="21412" applyFont="1" applyFill="1" applyBorder="1" applyProtection="1">
      <alignment vertical="center"/>
      <protection locked="0"/>
    </xf>
    <xf numFmtId="0" fontId="114" fillId="70" borderId="98" xfId="21412" applyFont="1" applyFill="1" applyBorder="1" applyAlignment="1" applyProtection="1">
      <alignment horizontal="center" vertical="center"/>
      <protection locked="0"/>
    </xf>
    <xf numFmtId="0" fontId="36" fillId="70" borderId="98" xfId="21412" applyFont="1" applyFill="1" applyBorder="1" applyAlignment="1" applyProtection="1">
      <alignment horizontal="center" vertical="center"/>
      <protection locked="0"/>
    </xf>
    <xf numFmtId="0" fontId="62" fillId="78" borderId="97" xfId="21412" applyFont="1" applyFill="1" applyBorder="1" applyProtection="1">
      <alignment vertical="center"/>
      <protection locked="0"/>
    </xf>
    <xf numFmtId="0" fontId="113" fillId="0" borderId="97" xfId="21412" applyFont="1" applyBorder="1" applyAlignment="1" applyProtection="1">
      <alignment horizontal="left" vertical="center" wrapText="1"/>
      <protection locked="0"/>
    </xf>
    <xf numFmtId="164" fontId="113" fillId="0" borderId="98" xfId="948" applyNumberFormat="1" applyFont="1" applyFill="1" applyBorder="1" applyAlignment="1" applyProtection="1">
      <alignment horizontal="right" vertical="center"/>
      <protection locked="0"/>
    </xf>
    <xf numFmtId="0" fontId="112" fillId="79" borderId="97" xfId="21412" applyFont="1" applyFill="1" applyBorder="1" applyAlignment="1" applyProtection="1">
      <alignment vertical="top" wrapText="1"/>
      <protection locked="0"/>
    </xf>
    <xf numFmtId="164" fontId="113" fillId="79" borderId="98" xfId="948" applyNumberFormat="1" applyFont="1" applyFill="1" applyBorder="1" applyAlignment="1" applyProtection="1">
      <alignment horizontal="right" vertical="center"/>
    </xf>
    <xf numFmtId="164" fontId="62" fillId="78" borderId="97" xfId="948" applyNumberFormat="1" applyFont="1" applyFill="1" applyBorder="1" applyAlignment="1" applyProtection="1">
      <alignment horizontal="right" vertical="center"/>
      <protection locked="0"/>
    </xf>
    <xf numFmtId="0" fontId="113" fillId="70" borderId="97" xfId="21412" applyFont="1" applyFill="1" applyBorder="1" applyAlignment="1" applyProtection="1">
      <alignment vertical="center" wrapText="1"/>
      <protection locked="0"/>
    </xf>
    <xf numFmtId="0" fontId="113" fillId="70" borderId="97" xfId="21412" applyFont="1" applyFill="1" applyBorder="1" applyAlignment="1" applyProtection="1">
      <alignment horizontal="left" vertical="center" wrapText="1"/>
      <protection locked="0"/>
    </xf>
    <xf numFmtId="0" fontId="113" fillId="0" borderId="97" xfId="21412" applyFont="1" applyBorder="1" applyAlignment="1" applyProtection="1">
      <alignment vertical="center" wrapText="1"/>
      <protection locked="0"/>
    </xf>
    <xf numFmtId="0" fontId="113" fillId="3" borderId="97" xfId="21412" applyFont="1" applyFill="1" applyBorder="1" applyAlignment="1" applyProtection="1">
      <alignment horizontal="left" vertical="center" wrapText="1"/>
      <protection locked="0"/>
    </xf>
    <xf numFmtId="0" fontId="112" fillId="79" borderId="97" xfId="21412" applyFont="1" applyFill="1" applyBorder="1" applyAlignment="1" applyProtection="1">
      <alignment vertical="center" wrapText="1"/>
      <protection locked="0"/>
    </xf>
    <xf numFmtId="164" fontId="112" fillId="78" borderId="97" xfId="948" applyNumberFormat="1" applyFont="1" applyFill="1" applyBorder="1" applyAlignment="1" applyProtection="1">
      <alignment horizontal="right" vertical="center"/>
      <protection locked="0"/>
    </xf>
    <xf numFmtId="164" fontId="113" fillId="3" borderId="98" xfId="948" applyNumberFormat="1" applyFont="1" applyFill="1" applyBorder="1" applyAlignment="1" applyProtection="1">
      <alignment horizontal="right" vertical="center"/>
      <protection locked="0"/>
    </xf>
    <xf numFmtId="10" fontId="7" fillId="0" borderId="98" xfId="20961" applyNumberFormat="1" applyFont="1" applyFill="1" applyBorder="1" applyAlignment="1">
      <alignment horizontal="left" vertical="center" wrapText="1"/>
    </xf>
    <xf numFmtId="10" fontId="4" fillId="0"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left" vertical="center" wrapText="1"/>
    </xf>
    <xf numFmtId="10" fontId="109" fillId="0" borderId="98" xfId="20961" applyNumberFormat="1" applyFont="1" applyFill="1" applyBorder="1" applyAlignment="1">
      <alignment horizontal="left" vertical="center" wrapText="1"/>
    </xf>
    <xf numFmtId="10" fontId="6" fillId="36"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4" xfId="0" applyFont="1" applyBorder="1" applyAlignment="1">
      <alignment horizontal="right" vertical="center" wrapText="1"/>
    </xf>
    <xf numFmtId="0" fontId="7" fillId="0" borderId="98" xfId="0" applyFont="1" applyBorder="1" applyAlignment="1">
      <alignment vertical="center" wrapText="1"/>
    </xf>
    <xf numFmtId="0" fontId="4" fillId="0" borderId="98" xfId="0" applyFont="1" applyBorder="1" applyAlignment="1">
      <alignment vertical="center" wrapText="1"/>
    </xf>
    <xf numFmtId="0" fontId="4" fillId="0" borderId="98" xfId="0" applyFont="1" applyBorder="1" applyAlignment="1">
      <alignment horizontal="left" vertical="center" wrapText="1" indent="2"/>
    </xf>
    <xf numFmtId="3" fontId="21" fillId="36" borderId="99"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99" xfId="0" applyNumberFormat="1" applyFont="1" applyBorder="1" applyAlignment="1">
      <alignment vertical="center" wrapText="1"/>
    </xf>
    <xf numFmtId="3" fontId="21" fillId="0" borderId="21" xfId="0" applyNumberFormat="1" applyFont="1" applyBorder="1" applyAlignment="1">
      <alignment vertical="center" wrapText="1"/>
    </xf>
    <xf numFmtId="3" fontId="21" fillId="36" borderId="25" xfId="0" applyNumberFormat="1" applyFont="1" applyFill="1" applyBorder="1" applyAlignment="1">
      <alignment vertical="center" wrapText="1"/>
    </xf>
    <xf numFmtId="3" fontId="21" fillId="36" borderId="37" xfId="0" applyNumberFormat="1" applyFont="1" applyFill="1" applyBorder="1" applyAlignment="1">
      <alignment vertical="center" wrapText="1"/>
    </xf>
    <xf numFmtId="0" fontId="6" fillId="0" borderId="23" xfId="0" applyFont="1" applyBorder="1" applyAlignment="1">
      <alignment vertical="center" wrapText="1"/>
    </xf>
    <xf numFmtId="0" fontId="4" fillId="0" borderId="112" xfId="0" applyFont="1" applyBorder="1"/>
    <xf numFmtId="0" fontId="4" fillId="0" borderId="24" xfId="0" applyFont="1" applyBorder="1"/>
    <xf numFmtId="0" fontId="9" fillId="0" borderId="112" xfId="0" applyFont="1" applyBorder="1"/>
    <xf numFmtId="0" fontId="9" fillId="0" borderId="112" xfId="0" applyFont="1" applyBorder="1" applyAlignment="1">
      <alignment wrapText="1"/>
    </xf>
    <xf numFmtId="0" fontId="10" fillId="0" borderId="18" xfId="0" applyFont="1" applyBorder="1" applyAlignment="1">
      <alignment horizontal="center"/>
    </xf>
    <xf numFmtId="0" fontId="10" fillId="0" borderId="112"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9" fillId="0" borderId="114" xfId="0" applyFont="1" applyBorder="1" applyAlignment="1">
      <alignment horizontal="center" vertical="center" wrapText="1"/>
    </xf>
    <xf numFmtId="0" fontId="15" fillId="0" borderId="98" xfId="0" applyFont="1" applyBorder="1" applyAlignment="1">
      <alignment horizontal="center" vertical="center" wrapText="1"/>
    </xf>
    <xf numFmtId="0" fontId="16" fillId="0" borderId="98" xfId="0" applyFont="1" applyBorder="1" applyAlignment="1">
      <alignment horizontal="left" vertical="center" wrapText="1"/>
    </xf>
    <xf numFmtId="193" fontId="7" fillId="0" borderId="98" xfId="0" applyNumberFormat="1" applyFont="1" applyBorder="1" applyAlignment="1" applyProtection="1">
      <alignment vertical="center" wrapText="1"/>
      <protection locked="0"/>
    </xf>
    <xf numFmtId="193" fontId="4" fillId="0" borderId="98" xfId="0" applyNumberFormat="1" applyFont="1" applyBorder="1" applyAlignment="1" applyProtection="1">
      <alignment vertical="center" wrapText="1"/>
      <protection locked="0"/>
    </xf>
    <xf numFmtId="193" fontId="4" fillId="0" borderId="112" xfId="0" applyNumberFormat="1" applyFont="1" applyBorder="1" applyAlignment="1" applyProtection="1">
      <alignment vertical="center" wrapText="1"/>
      <protection locked="0"/>
    </xf>
    <xf numFmtId="193" fontId="7" fillId="0" borderId="98" xfId="0" applyNumberFormat="1" applyFont="1" applyBorder="1" applyAlignment="1" applyProtection="1">
      <alignment horizontal="right" vertical="center" wrapText="1"/>
      <protection locked="0"/>
    </xf>
    <xf numFmtId="0" fontId="9" fillId="2" borderId="114" xfId="0" applyFont="1" applyFill="1" applyBorder="1" applyAlignment="1">
      <alignment horizontal="right" vertical="center"/>
    </xf>
    <xf numFmtId="0" fontId="9" fillId="2" borderId="98" xfId="0" applyFont="1" applyFill="1" applyBorder="1" applyAlignment="1">
      <alignment vertical="center"/>
    </xf>
    <xf numFmtId="193" fontId="9" fillId="2" borderId="98" xfId="0" applyNumberFormat="1" applyFont="1" applyFill="1" applyBorder="1" applyAlignment="1" applyProtection="1">
      <alignment vertical="center"/>
      <protection locked="0"/>
    </xf>
    <xf numFmtId="193" fontId="17" fillId="2" borderId="112" xfId="0" applyNumberFormat="1" applyFont="1" applyFill="1" applyBorder="1" applyAlignment="1" applyProtection="1">
      <alignment vertical="center"/>
      <protection locked="0"/>
    </xf>
    <xf numFmtId="193" fontId="9" fillId="2" borderId="112" xfId="0" applyNumberFormat="1" applyFont="1" applyFill="1" applyBorder="1" applyAlignment="1" applyProtection="1">
      <alignment vertical="center"/>
      <protection locked="0"/>
    </xf>
    <xf numFmtId="0" fontId="15" fillId="0" borderId="114" xfId="0" applyFont="1" applyBorder="1" applyAlignment="1">
      <alignment horizontal="center" vertical="center" wrapText="1"/>
    </xf>
    <xf numFmtId="14" fontId="4" fillId="0" borderId="0" xfId="0" applyNumberFormat="1" applyFont="1"/>
    <xf numFmtId="10" fontId="4" fillId="0" borderId="98" xfId="20961" applyNumberFormat="1" applyFont="1" applyFill="1" applyBorder="1" applyAlignment="1" applyProtection="1">
      <alignment horizontal="right" vertical="center" wrapText="1"/>
      <protection locked="0"/>
    </xf>
    <xf numFmtId="10" fontId="4" fillId="0" borderId="98" xfId="20961" applyNumberFormat="1" applyFont="1" applyBorder="1" applyAlignment="1" applyProtection="1">
      <alignment vertical="center" wrapText="1"/>
      <protection locked="0"/>
    </xf>
    <xf numFmtId="10" fontId="4" fillId="0" borderId="112" xfId="20961" applyNumberFormat="1" applyFont="1" applyBorder="1" applyAlignment="1" applyProtection="1">
      <alignment vertical="center" wrapText="1"/>
      <protection locked="0"/>
    </xf>
    <xf numFmtId="0" fontId="4" fillId="3" borderId="54" xfId="0" applyFont="1" applyFill="1" applyBorder="1"/>
    <xf numFmtId="0" fontId="4" fillId="3" borderId="117" xfId="0" applyFont="1" applyFill="1" applyBorder="1" applyAlignment="1">
      <alignment wrapText="1"/>
    </xf>
    <xf numFmtId="0" fontId="4" fillId="3" borderId="118" xfId="0" applyFont="1" applyFill="1" applyBorder="1"/>
    <xf numFmtId="0" fontId="6" fillId="3" borderId="11" xfId="0" applyFont="1" applyFill="1" applyBorder="1" applyAlignment="1">
      <alignment horizontal="center" wrapText="1"/>
    </xf>
    <xf numFmtId="0" fontId="4" fillId="0" borderId="98" xfId="0" applyFont="1" applyBorder="1" applyAlignment="1">
      <alignment horizontal="center"/>
    </xf>
    <xf numFmtId="0" fontId="4" fillId="3" borderId="63"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2" xfId="0" applyFont="1" applyFill="1" applyBorder="1" applyAlignment="1">
      <alignment horizontal="center" vertical="center" wrapText="1"/>
    </xf>
    <xf numFmtId="0" fontId="4" fillId="0" borderId="114" xfId="0" applyFont="1" applyBorder="1"/>
    <xf numFmtId="0" fontId="4" fillId="0" borderId="98" xfId="0" applyFont="1" applyBorder="1" applyAlignment="1">
      <alignment wrapText="1"/>
    </xf>
    <xf numFmtId="164" fontId="4" fillId="0" borderId="98" xfId="7" applyNumberFormat="1" applyFont="1" applyBorder="1"/>
    <xf numFmtId="164" fontId="4" fillId="0" borderId="112" xfId="7" applyNumberFormat="1" applyFont="1" applyBorder="1"/>
    <xf numFmtId="0" fontId="14" fillId="0" borderId="98" xfId="0" applyFont="1" applyBorder="1" applyAlignment="1">
      <alignment horizontal="left" wrapText="1" indent="2"/>
    </xf>
    <xf numFmtId="169" fontId="26" fillId="37" borderId="98" xfId="20" applyBorder="1"/>
    <xf numFmtId="164" fontId="4" fillId="0" borderId="98" xfId="7" applyNumberFormat="1" applyFont="1" applyBorder="1" applyAlignment="1">
      <alignment vertical="center"/>
    </xf>
    <xf numFmtId="0" fontId="6" fillId="0" borderId="114" xfId="0" applyFont="1" applyBorder="1"/>
    <xf numFmtId="0" fontId="6" fillId="0" borderId="98" xfId="0" applyFont="1" applyBorder="1" applyAlignment="1">
      <alignment wrapText="1"/>
    </xf>
    <xf numFmtId="164" fontId="6" fillId="0" borderId="112" xfId="7" applyNumberFormat="1" applyFont="1" applyBorder="1"/>
    <xf numFmtId="0" fontId="3" fillId="3" borderId="63"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2" xfId="7" applyNumberFormat="1" applyFont="1" applyFill="1" applyBorder="1"/>
    <xf numFmtId="0" fontId="14" fillId="0" borderId="9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2" xfId="0" applyFont="1" applyFill="1" applyBorder="1"/>
    <xf numFmtId="0" fontId="6" fillId="0" borderId="22" xfId="0" applyFont="1" applyBorder="1"/>
    <xf numFmtId="0" fontId="6" fillId="0" borderId="23" xfId="0" applyFont="1" applyBorder="1" applyAlignment="1">
      <alignment wrapText="1"/>
    </xf>
    <xf numFmtId="169" fontId="26" fillId="37" borderId="115" xfId="20" applyBorder="1"/>
    <xf numFmtId="10" fontId="6" fillId="0" borderId="24" xfId="20961" applyNumberFormat="1" applyFont="1" applyBorder="1"/>
    <xf numFmtId="0" fontId="9" fillId="2" borderId="106" xfId="0" applyFont="1" applyFill="1" applyBorder="1" applyAlignment="1">
      <alignment horizontal="right" vertical="center"/>
    </xf>
    <xf numFmtId="0" fontId="9" fillId="2" borderId="94" xfId="0" applyFont="1" applyFill="1" applyBorder="1" applyAlignment="1">
      <alignment vertical="center"/>
    </xf>
    <xf numFmtId="193" fontId="9" fillId="2" borderId="94" xfId="0" applyNumberFormat="1" applyFont="1" applyFill="1" applyBorder="1" applyAlignment="1" applyProtection="1">
      <alignment vertical="center"/>
      <protection locked="0"/>
    </xf>
    <xf numFmtId="193" fontId="17" fillId="2" borderId="94"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0" fontId="9" fillId="0" borderId="98" xfId="0" applyFont="1" applyBorder="1" applyAlignment="1">
      <alignment horizontal="left" vertical="center" wrapText="1"/>
    </xf>
    <xf numFmtId="0" fontId="6" fillId="3" borderId="0" xfId="0" applyFont="1" applyFill="1" applyAlignment="1">
      <alignment horizontal="center"/>
    </xf>
    <xf numFmtId="0" fontId="106" fillId="0" borderId="86" xfId="0" applyFont="1" applyBorder="1" applyAlignment="1">
      <alignment horizontal="left" vertical="center"/>
    </xf>
    <xf numFmtId="0" fontId="106" fillId="0" borderId="84" xfId="0" applyFont="1" applyBorder="1" applyAlignment="1">
      <alignment vertical="center" wrapText="1"/>
    </xf>
    <xf numFmtId="0" fontId="106" fillId="0" borderId="84"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8" xfId="0" applyFont="1" applyBorder="1" applyAlignment="1">
      <alignment horizontal="left" vertical="center" wrapText="1"/>
    </xf>
    <xf numFmtId="0" fontId="125" fillId="0" borderId="0" xfId="0" applyFont="1"/>
    <xf numFmtId="49" fontId="106" fillId="0" borderId="98"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193" fontId="7" fillId="3" borderId="112" xfId="2" applyNumberFormat="1" applyFont="1" applyFill="1" applyBorder="1" applyAlignment="1" applyProtection="1">
      <alignment vertical="top" wrapText="1"/>
      <protection locked="0"/>
    </xf>
    <xf numFmtId="0" fontId="9" fillId="0" borderId="98" xfId="0" applyFont="1" applyBorder="1" applyAlignment="1">
      <alignment horizontal="center" vertical="center" wrapText="1"/>
    </xf>
    <xf numFmtId="0" fontId="3" fillId="0" borderId="98" xfId="0" applyFont="1" applyBorder="1" applyAlignment="1">
      <alignment horizontal="center" vertical="center"/>
    </xf>
    <xf numFmtId="0" fontId="130" fillId="3" borderId="98" xfId="21414" applyFont="1" applyFill="1" applyBorder="1" applyAlignment="1">
      <alignment horizontal="left" vertical="center" wrapText="1"/>
    </xf>
    <xf numFmtId="0" fontId="131" fillId="0" borderId="98" xfId="21414" applyFont="1" applyBorder="1" applyAlignment="1">
      <alignment horizontal="left" vertical="center" wrapText="1" indent="1"/>
    </xf>
    <xf numFmtId="0" fontId="132" fillId="3" borderId="98" xfId="21414" applyFont="1" applyFill="1" applyBorder="1" applyAlignment="1">
      <alignment horizontal="left" vertical="center" wrapText="1"/>
    </xf>
    <xf numFmtId="0" fontId="131" fillId="3" borderId="98" xfId="21414" applyFont="1" applyFill="1" applyBorder="1" applyAlignment="1">
      <alignment horizontal="left" vertical="center" wrapText="1" indent="1"/>
    </xf>
    <xf numFmtId="0" fontId="130" fillId="0" borderId="135" xfId="0" applyFont="1" applyBorder="1" applyAlignment="1">
      <alignment horizontal="left" vertical="center" wrapText="1"/>
    </xf>
    <xf numFmtId="0" fontId="132" fillId="0" borderId="135" xfId="0" applyFont="1" applyBorder="1" applyAlignment="1">
      <alignment horizontal="left" vertical="center" wrapText="1"/>
    </xf>
    <xf numFmtId="0" fontId="133" fillId="3" borderId="135" xfId="0" applyFont="1" applyFill="1" applyBorder="1" applyAlignment="1">
      <alignment horizontal="left" vertical="center" wrapText="1" indent="1"/>
    </xf>
    <xf numFmtId="0" fontId="132" fillId="3" borderId="135" xfId="0" applyFont="1" applyFill="1" applyBorder="1" applyAlignment="1">
      <alignment horizontal="left" vertical="center" wrapText="1"/>
    </xf>
    <xf numFmtId="0" fontId="132" fillId="3" borderId="136" xfId="0" applyFont="1" applyFill="1" applyBorder="1" applyAlignment="1">
      <alignment horizontal="left" vertical="center" wrapText="1"/>
    </xf>
    <xf numFmtId="0" fontId="133" fillId="0" borderId="135" xfId="0" applyFont="1" applyBorder="1" applyAlignment="1">
      <alignment horizontal="left" vertical="center" wrapText="1" indent="1"/>
    </xf>
    <xf numFmtId="0" fontId="133" fillId="0" borderId="98" xfId="21414" applyFont="1" applyBorder="1" applyAlignment="1">
      <alignment horizontal="left" vertical="center" wrapText="1" indent="1"/>
    </xf>
    <xf numFmtId="0" fontId="132" fillId="0" borderId="98" xfId="21414" applyFont="1" applyBorder="1" applyAlignment="1">
      <alignment horizontal="left" vertical="center" wrapText="1"/>
    </xf>
    <xf numFmtId="0" fontId="134" fillId="0" borderId="98" xfId="21414" applyFont="1" applyBorder="1" applyAlignment="1">
      <alignment horizontal="center" vertical="center" wrapText="1"/>
    </xf>
    <xf numFmtId="0" fontId="132" fillId="3" borderId="137" xfId="0" applyFont="1" applyFill="1" applyBorder="1" applyAlignment="1">
      <alignment horizontal="left" vertical="center" wrapText="1"/>
    </xf>
    <xf numFmtId="0" fontId="131" fillId="3" borderId="138" xfId="21414" applyFont="1" applyFill="1" applyBorder="1" applyAlignment="1">
      <alignment horizontal="left" vertical="center" wrapText="1" indent="1"/>
    </xf>
    <xf numFmtId="0" fontId="131" fillId="3" borderId="135" xfId="0" applyFont="1" applyFill="1" applyBorder="1" applyAlignment="1">
      <alignment horizontal="left" vertical="center" wrapText="1" indent="1"/>
    </xf>
    <xf numFmtId="0" fontId="131" fillId="0" borderId="138" xfId="21414" applyFont="1" applyBorder="1" applyAlignment="1">
      <alignment horizontal="left" vertical="center" wrapText="1" indent="1"/>
    </xf>
    <xf numFmtId="0" fontId="131" fillId="0" borderId="135" xfId="0" applyFont="1" applyBorder="1" applyAlignment="1">
      <alignment horizontal="left" vertical="center" wrapText="1" indent="1"/>
    </xf>
    <xf numFmtId="0" fontId="131" fillId="0" borderId="136" xfId="0" applyFont="1" applyBorder="1" applyAlignment="1">
      <alignment horizontal="left" vertical="center" wrapText="1" indent="1"/>
    </xf>
    <xf numFmtId="0" fontId="132" fillId="0" borderId="138" xfId="21414" applyFont="1" applyBorder="1" applyAlignment="1">
      <alignment horizontal="left" vertical="center" wrapText="1"/>
    </xf>
    <xf numFmtId="0" fontId="132" fillId="3" borderId="138" xfId="21414" applyFont="1" applyFill="1" applyBorder="1" applyAlignment="1">
      <alignment horizontal="left" vertical="center" wrapText="1"/>
    </xf>
    <xf numFmtId="0" fontId="134" fillId="0" borderId="138" xfId="21414" applyFont="1" applyBorder="1" applyAlignment="1">
      <alignment horizontal="center" vertical="center" wrapText="1"/>
    </xf>
    <xf numFmtId="0" fontId="135" fillId="0" borderId="138" xfId="0" applyFont="1" applyBorder="1" applyAlignment="1">
      <alignment horizontal="left"/>
    </xf>
    <xf numFmtId="0" fontId="132" fillId="0" borderId="138" xfId="0" applyFont="1" applyBorder="1" applyAlignment="1">
      <alignment horizontal="left" vertical="center" wrapText="1"/>
    </xf>
    <xf numFmtId="0" fontId="0" fillId="0" borderId="0" xfId="0" applyAlignment="1">
      <alignment horizontal="left" vertical="center"/>
    </xf>
    <xf numFmtId="0" fontId="9" fillId="0" borderId="138" xfId="0" applyFont="1" applyBorder="1" applyAlignment="1">
      <alignment horizontal="center" vertical="center" wrapText="1"/>
    </xf>
    <xf numFmtId="0" fontId="132" fillId="0" borderId="143" xfId="0" applyFont="1" applyBorder="1" applyAlignment="1">
      <alignment horizontal="justify" vertical="center" wrapText="1"/>
    </xf>
    <xf numFmtId="0" fontId="131" fillId="0" borderId="137" xfId="0" applyFont="1" applyBorder="1" applyAlignment="1">
      <alignment horizontal="left" vertical="center" wrapText="1" indent="1"/>
    </xf>
    <xf numFmtId="0" fontId="132" fillId="0" borderId="135" xfId="0" applyFont="1" applyBorder="1" applyAlignment="1">
      <alignment horizontal="justify" vertical="center" wrapText="1"/>
    </xf>
    <xf numFmtId="0" fontId="130" fillId="0" borderId="135" xfId="0" applyFont="1" applyBorder="1" applyAlignment="1">
      <alignment horizontal="justify" vertical="center" wrapText="1"/>
    </xf>
    <xf numFmtId="0" fontId="132" fillId="3" borderId="135" xfId="0" applyFont="1" applyFill="1" applyBorder="1" applyAlignment="1">
      <alignment horizontal="justify" vertical="center" wrapText="1"/>
    </xf>
    <xf numFmtId="0" fontId="132" fillId="0" borderId="136" xfId="0" applyFont="1" applyBorder="1" applyAlignment="1">
      <alignment horizontal="justify" vertical="center" wrapText="1"/>
    </xf>
    <xf numFmtId="0" fontId="132" fillId="0" borderId="137" xfId="0" applyFont="1" applyBorder="1" applyAlignment="1">
      <alignment horizontal="justify" vertical="center" wrapText="1"/>
    </xf>
    <xf numFmtId="0" fontId="132" fillId="0" borderId="138" xfId="21414" applyFont="1" applyBorder="1" applyAlignment="1">
      <alignment horizontal="justify" vertical="center" wrapText="1"/>
    </xf>
    <xf numFmtId="0" fontId="133" fillId="0" borderId="129" xfId="0" applyFont="1" applyBorder="1" applyAlignment="1">
      <alignment horizontal="left" vertical="center" wrapText="1" indent="1"/>
    </xf>
    <xf numFmtId="0" fontId="130" fillId="0" borderId="135" xfId="0" applyFont="1" applyBorder="1" applyAlignment="1">
      <alignment vertical="center" wrapText="1"/>
    </xf>
    <xf numFmtId="0" fontId="132" fillId="0" borderId="135" xfId="0" applyFont="1" applyBorder="1" applyAlignment="1">
      <alignment vertical="center" wrapText="1"/>
    </xf>
    <xf numFmtId="0" fontId="132" fillId="0" borderId="138" xfId="21414" applyFont="1" applyBorder="1" applyAlignment="1">
      <alignment vertical="center" wrapText="1"/>
    </xf>
    <xf numFmtId="0" fontId="9" fillId="0" borderId="112" xfId="0" applyFont="1" applyBorder="1" applyAlignment="1">
      <alignment horizontal="center" vertical="center" wrapText="1"/>
    </xf>
    <xf numFmtId="0" fontId="0" fillId="0" borderId="138" xfId="0" applyBorder="1" applyAlignment="1">
      <alignment horizontal="center"/>
    </xf>
    <xf numFmtId="0" fontId="15" fillId="83" borderId="138" xfId="0" applyFont="1" applyFill="1" applyBorder="1" applyAlignment="1">
      <alignment vertical="center" wrapText="1"/>
    </xf>
    <xf numFmtId="193" fontId="9" fillId="0" borderId="138" xfId="0" applyNumberFormat="1" applyFont="1" applyBorder="1" applyAlignment="1">
      <alignment horizontal="right"/>
    </xf>
    <xf numFmtId="193" fontId="9" fillId="36" borderId="138" xfId="0" applyNumberFormat="1" applyFont="1" applyFill="1" applyBorder="1" applyAlignment="1">
      <alignment horizontal="right"/>
    </xf>
    <xf numFmtId="193" fontId="9" fillId="36" borderId="112" xfId="0" applyNumberFormat="1" applyFont="1" applyFill="1" applyBorder="1" applyAlignment="1">
      <alignment horizontal="right"/>
    </xf>
    <xf numFmtId="0" fontId="15" fillId="0" borderId="138" xfId="0" applyFont="1" applyBorder="1" applyAlignment="1">
      <alignment vertical="center" wrapText="1"/>
    </xf>
    <xf numFmtId="0" fontId="7" fillId="0" borderId="138" xfId="0" applyFont="1" applyBorder="1" applyAlignment="1">
      <alignment horizontal="left" vertical="center" wrapText="1" indent="1"/>
    </xf>
    <xf numFmtId="0" fontId="3" fillId="0" borderId="138" xfId="0" applyFont="1" applyBorder="1" applyAlignment="1">
      <alignment vertical="center"/>
    </xf>
    <xf numFmtId="0" fontId="136" fillId="0" borderId="138" xfId="0" applyFont="1" applyBorder="1" applyAlignment="1" applyProtection="1">
      <alignment horizontal="left" vertical="center" indent="1"/>
      <protection locked="0"/>
    </xf>
    <xf numFmtId="0" fontId="137" fillId="0" borderId="138" xfId="0" applyFont="1" applyBorder="1" applyAlignment="1" applyProtection="1">
      <alignment horizontal="left" vertical="center" indent="3"/>
      <protection locked="0"/>
    </xf>
    <xf numFmtId="0" fontId="138" fillId="0" borderId="138" xfId="0" applyFont="1" applyBorder="1" applyAlignment="1" applyProtection="1">
      <alignment horizontal="left" vertical="center" indent="3"/>
      <protection locked="0"/>
    </xf>
    <xf numFmtId="0" fontId="3" fillId="0" borderId="138" xfId="0" applyFont="1" applyBorder="1"/>
    <xf numFmtId="0" fontId="0" fillId="0" borderId="0" xfId="0" applyAlignment="1">
      <alignment horizontal="center"/>
    </xf>
    <xf numFmtId="193" fontId="9" fillId="0" borderId="0" xfId="0" applyNumberFormat="1" applyFont="1" applyAlignment="1">
      <alignment horizontal="right"/>
    </xf>
    <xf numFmtId="49" fontId="106" fillId="0" borderId="138" xfId="0" applyNumberFormat="1" applyFont="1" applyBorder="1" applyAlignment="1">
      <alignment horizontal="right" vertical="center"/>
    </xf>
    <xf numFmtId="0" fontId="0" fillId="0" borderId="138" xfId="0" applyBorder="1" applyAlignment="1">
      <alignment horizontal="center" vertical="center"/>
    </xf>
    <xf numFmtId="43" fontId="4" fillId="0" borderId="138" xfId="7" applyFont="1" applyFill="1" applyBorder="1" applyAlignment="1">
      <alignment vertical="center" wrapText="1"/>
    </xf>
    <xf numFmtId="43" fontId="4" fillId="0" borderId="98" xfId="7" applyFont="1" applyBorder="1" applyAlignment="1">
      <alignment vertical="center"/>
    </xf>
    <xf numFmtId="43" fontId="4" fillId="0" borderId="138" xfId="7" applyFont="1" applyBorder="1" applyAlignment="1">
      <alignment vertical="center"/>
    </xf>
    <xf numFmtId="0" fontId="0" fillId="0" borderId="142" xfId="0" applyBorder="1" applyAlignment="1">
      <alignment horizontal="center"/>
    </xf>
    <xf numFmtId="0" fontId="131" fillId="0" borderId="142" xfId="21414" applyFont="1" applyBorder="1" applyAlignment="1">
      <alignment horizontal="left" vertical="center" wrapText="1" indent="1"/>
    </xf>
    <xf numFmtId="0" fontId="131" fillId="3" borderId="138" xfId="0" applyFont="1" applyFill="1" applyBorder="1" applyAlignment="1">
      <alignment horizontal="left" vertical="center" wrapText="1" indent="1"/>
    </xf>
    <xf numFmtId="167" fontId="23" fillId="0" borderId="138" xfId="0" applyNumberFormat="1" applyFont="1" applyBorder="1" applyAlignment="1">
      <alignment horizontal="center"/>
    </xf>
    <xf numFmtId="0" fontId="23" fillId="0" borderId="138" xfId="0" applyFont="1" applyBorder="1"/>
    <xf numFmtId="0" fontId="131" fillId="0" borderId="138" xfId="0" applyFont="1" applyBorder="1" applyAlignment="1">
      <alignment horizontal="left" vertical="center" wrapText="1" indent="1"/>
    </xf>
    <xf numFmtId="0" fontId="133" fillId="3" borderId="138" xfId="0" applyFont="1" applyFill="1" applyBorder="1" applyAlignment="1">
      <alignment horizontal="left" vertical="center" wrapText="1" indent="1"/>
    </xf>
    <xf numFmtId="0" fontId="133" fillId="0" borderId="138" xfId="0" applyFont="1" applyBorder="1" applyAlignment="1">
      <alignment horizontal="left" vertical="center" wrapText="1" indent="1"/>
    </xf>
    <xf numFmtId="167" fontId="22" fillId="0" borderId="56" xfId="0" applyNumberFormat="1" applyFont="1" applyBorder="1" applyAlignment="1">
      <alignment horizontal="center"/>
    </xf>
    <xf numFmtId="167" fontId="18" fillId="0" borderId="58" xfId="0" applyNumberFormat="1" applyFont="1" applyBorder="1" applyAlignment="1">
      <alignment horizontal="center"/>
    </xf>
    <xf numFmtId="193" fontId="23"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3" fillId="0" borderId="13" xfId="0" applyNumberFormat="1" applyFont="1" applyBorder="1" applyAlignment="1">
      <alignment horizontal="center" vertical="center"/>
    </xf>
    <xf numFmtId="193" fontId="22" fillId="0" borderId="14" xfId="0" applyNumberFormat="1" applyFont="1" applyBorder="1" applyAlignment="1">
      <alignment horizontal="center" vertical="center"/>
    </xf>
    <xf numFmtId="193" fontId="23" fillId="0" borderId="138" xfId="0" applyNumberFormat="1" applyFont="1" applyBorder="1" applyAlignment="1">
      <alignment horizontal="center" vertical="center"/>
    </xf>
    <xf numFmtId="0" fontId="23" fillId="0" borderId="138" xfId="0" applyFont="1" applyBorder="1" applyAlignment="1">
      <alignment horizontal="center"/>
    </xf>
    <xf numFmtId="0" fontId="23" fillId="0" borderId="138" xfId="0" applyFont="1" applyBorder="1" applyAlignment="1">
      <alignment horizontal="center" vertical="center"/>
    </xf>
    <xf numFmtId="193" fontId="22" fillId="0" borderId="30" xfId="0" applyNumberFormat="1" applyFont="1" applyBorder="1" applyAlignment="1">
      <alignment horizontal="center" vertical="center"/>
    </xf>
    <xf numFmtId="193" fontId="104" fillId="0" borderId="12" xfId="0" applyNumberFormat="1" applyFont="1" applyBorder="1" applyAlignment="1">
      <alignment horizontal="center" vertical="center"/>
    </xf>
    <xf numFmtId="193" fontId="22" fillId="0" borderId="12" xfId="0" applyNumberFormat="1" applyFont="1" applyBorder="1" applyAlignment="1">
      <alignment horizontal="center" vertical="center"/>
    </xf>
    <xf numFmtId="193" fontId="22" fillId="0" borderId="15" xfId="0" applyNumberFormat="1" applyFont="1" applyBorder="1" applyAlignment="1">
      <alignment horizontal="center" vertical="center"/>
    </xf>
    <xf numFmtId="193" fontId="22" fillId="0" borderId="13" xfId="0" applyNumberFormat="1" applyFont="1" applyBorder="1" applyAlignment="1">
      <alignment horizontal="center" vertical="center"/>
    </xf>
    <xf numFmtId="193" fontId="22" fillId="0" borderId="138" xfId="0" applyNumberFormat="1" applyFont="1" applyBorder="1" applyAlignment="1">
      <alignment horizontal="center" vertical="center"/>
    </xf>
    <xf numFmtId="0" fontId="22" fillId="0" borderId="138" xfId="0" applyFont="1" applyBorder="1" applyAlignment="1">
      <alignment horizontal="center" vertical="center"/>
    </xf>
    <xf numFmtId="0" fontId="120" fillId="0" borderId="138" xfId="0" applyFont="1" applyBorder="1"/>
    <xf numFmtId="49" fontId="122" fillId="0" borderId="138" xfId="5" applyNumberFormat="1" applyFont="1" applyBorder="1" applyAlignment="1" applyProtection="1">
      <alignment horizontal="right" vertical="center"/>
      <protection locked="0"/>
    </xf>
    <xf numFmtId="0" fontId="121" fillId="3" borderId="138" xfId="13" applyFont="1" applyFill="1" applyBorder="1" applyAlignment="1" applyProtection="1">
      <alignment horizontal="left" vertical="center" wrapText="1"/>
      <protection locked="0"/>
    </xf>
    <xf numFmtId="49" fontId="121" fillId="3" borderId="138" xfId="5" applyNumberFormat="1" applyFont="1" applyFill="1" applyBorder="1" applyAlignment="1" applyProtection="1">
      <alignment horizontal="right" vertical="center"/>
      <protection locked="0"/>
    </xf>
    <xf numFmtId="0" fontId="121" fillId="0" borderId="138" xfId="13" applyFont="1" applyBorder="1" applyAlignment="1" applyProtection="1">
      <alignment horizontal="left" vertical="center" wrapText="1"/>
      <protection locked="0"/>
    </xf>
    <xf numFmtId="49" fontId="121" fillId="0" borderId="138" xfId="5" applyNumberFormat="1" applyFont="1" applyBorder="1" applyAlignment="1" applyProtection="1">
      <alignment horizontal="right" vertical="center"/>
      <protection locked="0"/>
    </xf>
    <xf numFmtId="0" fontId="123" fillId="0" borderId="138" xfId="13" applyFont="1" applyBorder="1" applyAlignment="1" applyProtection="1">
      <alignment horizontal="left" vertical="center" wrapText="1"/>
      <protection locked="0"/>
    </xf>
    <xf numFmtId="0" fontId="120" fillId="0" borderId="138" xfId="0" applyFont="1" applyBorder="1" applyAlignment="1">
      <alignment horizontal="center" vertical="center" wrapText="1"/>
    </xf>
    <xf numFmtId="166" fontId="116" fillId="36" borderId="146" xfId="21413" applyFont="1" applyFill="1" applyBorder="1"/>
    <xf numFmtId="0" fontId="116" fillId="0" borderId="146" xfId="0" applyFont="1" applyBorder="1"/>
    <xf numFmtId="0" fontId="116" fillId="0" borderId="146" xfId="0" applyFont="1" applyBorder="1" applyAlignment="1">
      <alignment horizontal="left" indent="8"/>
    </xf>
    <xf numFmtId="0" fontId="116" fillId="0" borderId="146" xfId="0" applyFont="1" applyBorder="1" applyAlignment="1">
      <alignment wrapText="1"/>
    </xf>
    <xf numFmtId="0" fontId="119" fillId="0" borderId="146" xfId="0" applyFont="1" applyBorder="1"/>
    <xf numFmtId="49" fontId="122" fillId="0" borderId="146" xfId="5" applyNumberFormat="1" applyFont="1" applyBorder="1" applyAlignment="1" applyProtection="1">
      <alignment horizontal="right" vertical="center" wrapText="1"/>
      <protection locked="0"/>
    </xf>
    <xf numFmtId="0" fontId="121" fillId="3" borderId="146" xfId="13" applyFont="1" applyFill="1" applyBorder="1" applyAlignment="1" applyProtection="1">
      <alignment horizontal="left" vertical="center" wrapText="1"/>
      <protection locked="0"/>
    </xf>
    <xf numFmtId="49" fontId="121" fillId="3" borderId="146" xfId="5" applyNumberFormat="1" applyFont="1" applyFill="1" applyBorder="1" applyAlignment="1" applyProtection="1">
      <alignment horizontal="right" vertical="center" wrapText="1"/>
      <protection locked="0"/>
    </xf>
    <xf numFmtId="0" fontId="121" fillId="0" borderId="146" xfId="13" applyFont="1" applyBorder="1" applyAlignment="1" applyProtection="1">
      <alignment horizontal="left" vertical="center" wrapText="1"/>
      <protection locked="0"/>
    </xf>
    <xf numFmtId="49" fontId="121" fillId="0" borderId="146" xfId="5" applyNumberFormat="1" applyFont="1" applyBorder="1" applyAlignment="1" applyProtection="1">
      <alignment horizontal="right" vertical="center" wrapText="1"/>
      <protection locked="0"/>
    </xf>
    <xf numFmtId="0" fontId="123" fillId="0" borderId="146" xfId="13" applyFont="1" applyBorder="1" applyAlignment="1" applyProtection="1">
      <alignment horizontal="left" vertical="center" wrapText="1"/>
      <protection locked="0"/>
    </xf>
    <xf numFmtId="0" fontId="116" fillId="0" borderId="146"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146"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46" xfId="0" applyFont="1" applyBorder="1" applyAlignment="1">
      <alignment horizontal="left" vertical="center" wrapText="1"/>
    </xf>
    <xf numFmtId="0" fontId="119" fillId="0" borderId="146" xfId="0" applyFont="1" applyBorder="1" applyAlignment="1">
      <alignment horizontal="left" wrapText="1" indent="1"/>
    </xf>
    <xf numFmtId="0" fontId="119" fillId="0" borderId="146" xfId="0" applyFont="1" applyBorder="1" applyAlignment="1">
      <alignment horizontal="left" vertical="center" indent="1"/>
    </xf>
    <xf numFmtId="0" fontId="116" fillId="0" borderId="146" xfId="0" applyFont="1" applyBorder="1" applyAlignment="1">
      <alignment horizontal="left" wrapText="1" indent="1"/>
    </xf>
    <xf numFmtId="0" fontId="116" fillId="0" borderId="146" xfId="0" applyFont="1" applyBorder="1" applyAlignment="1">
      <alignment horizontal="left" indent="1"/>
    </xf>
    <xf numFmtId="0" fontId="116" fillId="0" borderId="146" xfId="0" applyFont="1" applyBorder="1" applyAlignment="1">
      <alignment horizontal="left" wrapText="1" indent="4"/>
    </xf>
    <xf numFmtId="0" fontId="116" fillId="0" borderId="146" xfId="0" applyFont="1" applyBorder="1" applyAlignment="1">
      <alignment horizontal="left" indent="3"/>
    </xf>
    <xf numFmtId="0" fontId="119" fillId="0" borderId="146" xfId="0" applyFont="1" applyBorder="1" applyAlignment="1">
      <alignment horizontal="left" indent="1"/>
    </xf>
    <xf numFmtId="0" fontId="120" fillId="0" borderId="146" xfId="0" applyFont="1" applyBorder="1" applyAlignment="1">
      <alignment horizontal="center" vertical="center" wrapText="1"/>
    </xf>
    <xf numFmtId="0" fontId="116" fillId="80" borderId="146" xfId="0" applyFont="1" applyFill="1" applyBorder="1"/>
    <xf numFmtId="0" fontId="119" fillId="0" borderId="7" xfId="0" applyFont="1" applyBorder="1"/>
    <xf numFmtId="0" fontId="116" fillId="0" borderId="146" xfId="0" applyFont="1" applyBorder="1" applyAlignment="1">
      <alignment horizontal="left" wrapText="1" indent="2"/>
    </xf>
    <xf numFmtId="0" fontId="116" fillId="0" borderId="146" xfId="0" applyFont="1" applyBorder="1" applyAlignment="1">
      <alignment horizontal="left" wrapText="1"/>
    </xf>
    <xf numFmtId="0" fontId="119" fillId="84" borderId="146" xfId="0" applyFont="1" applyFill="1" applyBorder="1"/>
    <xf numFmtId="0" fontId="116" fillId="0" borderId="146"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3"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45"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2" xfId="0" applyFont="1" applyBorder="1"/>
    <xf numFmtId="0" fontId="116" fillId="0" borderId="153" xfId="0" applyFont="1" applyBorder="1"/>
    <xf numFmtId="49" fontId="116" fillId="0" borderId="154" xfId="0" applyNumberFormat="1" applyFont="1" applyBorder="1" applyAlignment="1">
      <alignment horizontal="left" wrapText="1" indent="1"/>
    </xf>
    <xf numFmtId="49" fontId="116" fillId="0" borderId="152" xfId="0" applyNumberFormat="1" applyFont="1" applyBorder="1" applyAlignment="1">
      <alignment horizontal="left" wrapText="1" indent="1"/>
    </xf>
    <xf numFmtId="0" fontId="116" fillId="0" borderId="154" xfId="0" applyFont="1" applyBorder="1" applyAlignment="1">
      <alignment horizontal="left" wrapText="1" indent="1"/>
    </xf>
    <xf numFmtId="0" fontId="116" fillId="0" borderId="155" xfId="0" applyFont="1" applyBorder="1"/>
    <xf numFmtId="49" fontId="116" fillId="0" borderId="155" xfId="0" applyNumberFormat="1" applyFont="1" applyBorder="1" applyAlignment="1">
      <alignment horizontal="left" wrapText="1" indent="1"/>
    </xf>
    <xf numFmtId="0" fontId="116" fillId="0" borderId="156" xfId="0" applyFont="1" applyBorder="1" applyAlignment="1">
      <alignment horizontal="left" wrapText="1" indent="1"/>
    </xf>
    <xf numFmtId="49" fontId="116" fillId="0" borderId="156" xfId="0" applyNumberFormat="1" applyFont="1" applyBorder="1" applyAlignment="1">
      <alignment horizontal="left" wrapText="1" indent="3"/>
    </xf>
    <xf numFmtId="49" fontId="116" fillId="0" borderId="155" xfId="0" applyNumberFormat="1" applyFont="1" applyBorder="1" applyAlignment="1">
      <alignment horizontal="left" wrapText="1" indent="3"/>
    </xf>
    <xf numFmtId="49" fontId="116" fillId="0" borderId="156" xfId="0" applyNumberFormat="1" applyFont="1" applyBorder="1" applyAlignment="1">
      <alignment horizontal="left" wrapText="1" indent="2"/>
    </xf>
    <xf numFmtId="49" fontId="116" fillId="0" borderId="155" xfId="0" applyNumberFormat="1" applyFont="1" applyBorder="1" applyAlignment="1">
      <alignment horizontal="left" wrapText="1" indent="2"/>
    </xf>
    <xf numFmtId="49" fontId="116" fillId="0" borderId="155" xfId="0" applyNumberFormat="1" applyFont="1" applyBorder="1" applyAlignment="1">
      <alignment horizontal="left" vertical="top" wrapText="1" indent="2"/>
    </xf>
    <xf numFmtId="0" fontId="116" fillId="81" borderId="155" xfId="0" applyFont="1" applyFill="1" applyBorder="1"/>
    <xf numFmtId="0" fontId="116" fillId="81" borderId="146" xfId="0" applyFont="1" applyFill="1" applyBorder="1"/>
    <xf numFmtId="0" fontId="116" fillId="81" borderId="156" xfId="0" applyFont="1" applyFill="1" applyBorder="1"/>
    <xf numFmtId="49" fontId="116" fillId="0" borderId="155" xfId="0" applyNumberFormat="1" applyFont="1" applyBorder="1" applyAlignment="1">
      <alignment horizontal="left" indent="1"/>
    </xf>
    <xf numFmtId="0" fontId="116" fillId="0" borderId="156" xfId="0" applyFont="1" applyBorder="1" applyAlignment="1">
      <alignment horizontal="left" indent="1"/>
    </xf>
    <xf numFmtId="49" fontId="116" fillId="0" borderId="156" xfId="0" applyNumberFormat="1" applyFont="1" applyBorder="1" applyAlignment="1">
      <alignment horizontal="left" indent="1"/>
    </xf>
    <xf numFmtId="49" fontId="116" fillId="0" borderId="156" xfId="0" applyNumberFormat="1" applyFont="1" applyBorder="1" applyAlignment="1">
      <alignment horizontal="left" indent="3"/>
    </xf>
    <xf numFmtId="49" fontId="116" fillId="0" borderId="155" xfId="0" applyNumberFormat="1" applyFont="1" applyBorder="1" applyAlignment="1">
      <alignment horizontal="left" indent="3"/>
    </xf>
    <xf numFmtId="0" fontId="116" fillId="0" borderId="156" xfId="0" applyFont="1" applyBorder="1" applyAlignment="1">
      <alignment horizontal="left" indent="2"/>
    </xf>
    <xf numFmtId="0" fontId="116" fillId="0" borderId="155" xfId="0" applyFont="1" applyBorder="1" applyAlignment="1">
      <alignment horizontal="left" indent="2"/>
    </xf>
    <xf numFmtId="0" fontId="116" fillId="0" borderId="155" xfId="0" applyFont="1" applyBorder="1" applyAlignment="1">
      <alignment horizontal="left" indent="1"/>
    </xf>
    <xf numFmtId="0" fontId="119" fillId="0" borderId="64" xfId="0" applyFont="1" applyBorder="1"/>
    <xf numFmtId="0" fontId="116" fillId="0" borderId="69" xfId="0" applyFont="1" applyBorder="1"/>
    <xf numFmtId="0" fontId="116" fillId="0" borderId="0" xfId="0" applyFont="1" applyAlignment="1">
      <alignment horizontal="left"/>
    </xf>
    <xf numFmtId="0" fontId="119" fillId="0" borderId="146" xfId="0" applyFont="1" applyBorder="1" applyAlignment="1">
      <alignment horizontal="left" vertical="center" wrapText="1"/>
    </xf>
    <xf numFmtId="0" fontId="9" fillId="0" borderId="0" xfId="0" applyFont="1" applyAlignment="1">
      <alignment wrapText="1"/>
    </xf>
    <xf numFmtId="0" fontId="119" fillId="0" borderId="146"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3" xfId="0" applyFont="1" applyBorder="1" applyAlignment="1">
      <alignment horizontal="left" vertical="center" wrapText="1" indent="1" readingOrder="1"/>
    </xf>
    <xf numFmtId="0" fontId="121" fillId="0" borderId="146" xfId="0" applyFont="1" applyBorder="1" applyAlignment="1">
      <alignment horizontal="left" indent="3"/>
    </xf>
    <xf numFmtId="0" fontId="119" fillId="0" borderId="146" xfId="0" applyFont="1" applyBorder="1" applyAlignment="1">
      <alignment vertical="center" wrapText="1" readingOrder="1"/>
    </xf>
    <xf numFmtId="0" fontId="121" fillId="0" borderId="146" xfId="0" applyFont="1" applyBorder="1" applyAlignment="1">
      <alignment horizontal="left" indent="2"/>
    </xf>
    <xf numFmtId="0" fontId="116" fillId="0" borderId="134" xfId="0" applyFont="1" applyBorder="1" applyAlignment="1">
      <alignment vertical="center" wrapText="1" readingOrder="1"/>
    </xf>
    <xf numFmtId="0" fontId="121" fillId="0" borderId="147" xfId="0" applyFont="1" applyBorder="1" applyAlignment="1">
      <alignment horizontal="left" indent="2"/>
    </xf>
    <xf numFmtId="0" fontId="116" fillId="0" borderId="133" xfId="0" applyFont="1" applyBorder="1" applyAlignment="1">
      <alignment vertical="center" wrapText="1" readingOrder="1"/>
    </xf>
    <xf numFmtId="0" fontId="116" fillId="0" borderId="132" xfId="0" applyFont="1" applyBorder="1" applyAlignment="1">
      <alignment vertical="center" wrapText="1" readingOrder="1"/>
    </xf>
    <xf numFmtId="0" fontId="139" fillId="0" borderId="7" xfId="0" applyFont="1" applyBorder="1"/>
    <xf numFmtId="0" fontId="106" fillId="0" borderId="146" xfId="0" applyFont="1" applyBorder="1" applyAlignment="1">
      <alignment vertical="center" wrapText="1"/>
    </xf>
    <xf numFmtId="0" fontId="106" fillId="0" borderId="146" xfId="0" applyFont="1" applyBorder="1" applyAlignment="1">
      <alignment horizontal="left" vertical="center" wrapText="1"/>
    </xf>
    <xf numFmtId="0" fontId="106" fillId="0" borderId="146" xfId="0" applyFont="1" applyBorder="1" applyAlignment="1">
      <alignment horizontal="left" indent="2"/>
    </xf>
    <xf numFmtId="0" fontId="106" fillId="0" borderId="146" xfId="0" applyFont="1" applyBorder="1" applyAlignment="1">
      <alignment horizontal="left" vertical="center" indent="1"/>
    </xf>
    <xf numFmtId="0" fontId="106" fillId="0" borderId="146" xfId="0" applyFont="1" applyBorder="1" applyAlignment="1">
      <alignment horizontal="left" vertical="center" wrapText="1" indent="1"/>
    </xf>
    <xf numFmtId="0" fontId="106" fillId="0" borderId="146" xfId="0" applyFont="1" applyBorder="1" applyAlignment="1">
      <alignment horizontal="right" vertical="center"/>
    </xf>
    <xf numFmtId="49" fontId="106" fillId="0" borderId="146" xfId="0" applyNumberFormat="1" applyFont="1" applyBorder="1" applyAlignment="1">
      <alignment horizontal="right" vertical="center"/>
    </xf>
    <xf numFmtId="0" fontId="106" fillId="0" borderId="147" xfId="0" applyFont="1" applyBorder="1" applyAlignment="1">
      <alignment horizontal="left" vertical="top" wrapText="1"/>
    </xf>
    <xf numFmtId="49" fontId="106" fillId="0" borderId="146" xfId="0" applyNumberFormat="1" applyFont="1" applyBorder="1" applyAlignment="1">
      <alignment vertical="top" wrapText="1"/>
    </xf>
    <xf numFmtId="49" fontId="106" fillId="0" borderId="146" xfId="0" applyNumberFormat="1" applyFont="1" applyBorder="1" applyAlignment="1">
      <alignment horizontal="left" vertical="top" wrapText="1" indent="2"/>
    </xf>
    <xf numFmtId="49" fontId="106" fillId="0" borderId="146" xfId="0" applyNumberFormat="1" applyFont="1" applyBorder="1" applyAlignment="1">
      <alignment horizontal="left" vertical="center" wrapText="1" indent="3"/>
    </xf>
    <xf numFmtId="49" fontId="106" fillId="0" borderId="146" xfId="0" applyNumberFormat="1" applyFont="1" applyBorder="1" applyAlignment="1">
      <alignment horizontal="left" wrapText="1" indent="2"/>
    </xf>
    <xf numFmtId="49" fontId="106" fillId="0" borderId="146" xfId="0" applyNumberFormat="1" applyFont="1" applyBorder="1" applyAlignment="1">
      <alignment horizontal="left" vertical="top" wrapText="1"/>
    </xf>
    <xf numFmtId="49" fontId="106" fillId="0" borderId="146" xfId="0" applyNumberFormat="1" applyFont="1" applyBorder="1" applyAlignment="1">
      <alignment horizontal="left" wrapText="1" indent="3"/>
    </xf>
    <xf numFmtId="49" fontId="106" fillId="0" borderId="146" xfId="0" applyNumberFormat="1" applyFont="1" applyBorder="1" applyAlignment="1">
      <alignment vertical="center"/>
    </xf>
    <xf numFmtId="49" fontId="106" fillId="0" borderId="146" xfId="0" applyNumberFormat="1" applyFont="1" applyBorder="1" applyAlignment="1">
      <alignment horizontal="left" indent="3"/>
    </xf>
    <xf numFmtId="0" fontId="106" fillId="0" borderId="146" xfId="0" applyFont="1" applyBorder="1" applyAlignment="1">
      <alignment horizontal="left" indent="1"/>
    </xf>
    <xf numFmtId="0" fontId="106" fillId="0" borderId="146" xfId="0" applyFont="1" applyBorder="1" applyAlignment="1">
      <alignment horizontal="left" wrapText="1" indent="2"/>
    </xf>
    <xf numFmtId="0" fontId="106" fillId="0" borderId="146" xfId="0" applyFont="1" applyBorder="1" applyAlignment="1">
      <alignment horizontal="left" vertical="top" wrapText="1"/>
    </xf>
    <xf numFmtId="0" fontId="105" fillId="0" borderId="7" xfId="0" applyFont="1" applyBorder="1" applyAlignment="1">
      <alignment wrapText="1"/>
    </xf>
    <xf numFmtId="0" fontId="106" fillId="0" borderId="146" xfId="0" applyFont="1" applyBorder="1" applyAlignment="1">
      <alignment horizontal="left" vertical="top" wrapText="1" indent="2"/>
    </xf>
    <xf numFmtId="0" fontId="106" fillId="0" borderId="146" xfId="0" applyFont="1" applyBorder="1" applyAlignment="1">
      <alignment horizontal="left" wrapText="1"/>
    </xf>
    <xf numFmtId="0" fontId="106" fillId="0" borderId="146" xfId="12672" applyFont="1" applyBorder="1" applyAlignment="1">
      <alignment horizontal="left" vertical="center" wrapText="1" indent="2"/>
    </xf>
    <xf numFmtId="0" fontId="106" fillId="0" borderId="146" xfId="0" applyFont="1" applyBorder="1" applyAlignment="1">
      <alignment wrapText="1"/>
    </xf>
    <xf numFmtId="0" fontId="106" fillId="0" borderId="146" xfId="0" applyFont="1" applyBorder="1"/>
    <xf numFmtId="0" fontId="106" fillId="0" borderId="146" xfId="12672" applyFont="1" applyBorder="1" applyAlignment="1">
      <alignment horizontal="left" vertical="center" wrapText="1"/>
    </xf>
    <xf numFmtId="0" fontId="105" fillId="0" borderId="146" xfId="0" applyFont="1" applyBorder="1" applyAlignment="1">
      <alignment wrapText="1"/>
    </xf>
    <xf numFmtId="0" fontId="106" fillId="0" borderId="148" xfId="0" applyFont="1" applyBorder="1" applyAlignment="1">
      <alignment horizontal="left" vertical="center" wrapText="1"/>
    </xf>
    <xf numFmtId="0" fontId="106" fillId="3" borderId="146" xfId="5" applyFont="1" applyFill="1" applyBorder="1" applyAlignment="1" applyProtection="1">
      <alignment horizontal="right" vertical="center"/>
      <protection locked="0"/>
    </xf>
    <xf numFmtId="2" fontId="106" fillId="3" borderId="146" xfId="5" applyNumberFormat="1" applyFont="1" applyFill="1" applyBorder="1" applyAlignment="1" applyProtection="1">
      <alignment horizontal="right" vertical="center"/>
      <protection locked="0"/>
    </xf>
    <xf numFmtId="0" fontId="106" fillId="0" borderId="146" xfId="0" applyFont="1" applyBorder="1" applyAlignment="1">
      <alignment vertical="center"/>
    </xf>
    <xf numFmtId="0" fontId="106" fillId="0" borderId="148" xfId="13" applyFont="1" applyBorder="1" applyAlignment="1" applyProtection="1">
      <alignment horizontal="left" vertical="top" wrapText="1"/>
      <protection locked="0"/>
    </xf>
    <xf numFmtId="0" fontId="106" fillId="0" borderId="149" xfId="13" applyFont="1" applyBorder="1" applyAlignment="1" applyProtection="1">
      <alignment horizontal="left" vertical="top" wrapText="1"/>
      <protection locked="0"/>
    </xf>
    <xf numFmtId="0" fontId="106" fillId="0" borderId="147"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7" xfId="0" applyFont="1" applyBorder="1" applyAlignment="1">
      <alignment horizontal="left" indent="2"/>
    </xf>
    <xf numFmtId="0" fontId="106" fillId="0" borderId="134" xfId="0" applyFont="1" applyBorder="1" applyAlignment="1">
      <alignment horizontal="left" vertical="center" wrapText="1" readingOrder="1"/>
    </xf>
    <xf numFmtId="0" fontId="106" fillId="0" borderId="146" xfId="0" applyFont="1" applyBorder="1" applyAlignment="1">
      <alignment horizontal="left" vertical="center" wrapText="1" readingOrder="1"/>
    </xf>
    <xf numFmtId="167" fontId="19" fillId="85" borderId="57" xfId="0" applyNumberFormat="1" applyFont="1" applyFill="1" applyBorder="1" applyAlignment="1">
      <alignment horizontal="center"/>
    </xf>
    <xf numFmtId="0" fontId="2" fillId="0" borderId="16" xfId="0" applyFont="1" applyBorder="1" applyAlignment="1">
      <alignment horizontal="left" vertical="center" wrapText="1" indent="1"/>
    </xf>
    <xf numFmtId="169" fontId="26" fillId="37" borderId="63" xfId="20" applyBorder="1"/>
    <xf numFmtId="193" fontId="4" fillId="0" borderId="156" xfId="0" applyNumberFormat="1" applyFont="1" applyBorder="1" applyAlignment="1" applyProtection="1">
      <alignment vertical="center" wrapText="1"/>
      <protection locked="0"/>
    </xf>
    <xf numFmtId="193" fontId="4" fillId="0" borderId="146" xfId="0" applyNumberFormat="1" applyFont="1" applyBorder="1" applyAlignment="1" applyProtection="1">
      <alignment vertical="center" wrapText="1"/>
      <protection locked="0"/>
    </xf>
    <xf numFmtId="193" fontId="4" fillId="0" borderId="155" xfId="0" applyNumberFormat="1" applyFont="1" applyBorder="1" applyAlignment="1" applyProtection="1">
      <alignment vertical="center" wrapText="1"/>
      <protection locked="0"/>
    </xf>
    <xf numFmtId="10" fontId="4" fillId="0" borderId="156" xfId="20961" applyNumberFormat="1" applyFont="1" applyBorder="1" applyAlignment="1" applyProtection="1">
      <alignment vertical="center" wrapText="1"/>
      <protection locked="0"/>
    </xf>
    <xf numFmtId="10" fontId="4" fillId="0" borderId="146" xfId="20961" applyNumberFormat="1" applyFont="1" applyBorder="1" applyAlignment="1" applyProtection="1">
      <alignment vertical="center" wrapText="1"/>
      <protection locked="0"/>
    </xf>
    <xf numFmtId="10" fontId="4" fillId="0" borderId="155" xfId="20961" applyNumberFormat="1" applyFont="1" applyBorder="1" applyAlignment="1" applyProtection="1">
      <alignment vertical="center" wrapText="1"/>
      <protection locked="0"/>
    </xf>
    <xf numFmtId="193" fontId="17" fillId="2" borderId="146" xfId="0"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17" fillId="2" borderId="147" xfId="0" applyNumberFormat="1" applyFont="1" applyFill="1" applyBorder="1" applyAlignment="1" applyProtection="1">
      <alignment vertical="center"/>
      <protection locked="0"/>
    </xf>
    <xf numFmtId="0" fontId="11" fillId="0" borderId="98" xfId="17" applyFill="1" applyBorder="1" applyAlignment="1" applyProtection="1">
      <alignment horizontal="left" vertical="top" wrapText="1"/>
    </xf>
    <xf numFmtId="0" fontId="7" fillId="83" borderId="146"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164" fontId="4" fillId="0" borderId="156" xfId="7" applyNumberFormat="1" applyFont="1" applyBorder="1" applyAlignment="1" applyProtection="1">
      <alignment vertical="center" wrapText="1"/>
      <protection locked="0"/>
    </xf>
    <xf numFmtId="164" fontId="4" fillId="0" borderId="146" xfId="7" applyNumberFormat="1" applyFont="1" applyBorder="1" applyAlignment="1" applyProtection="1">
      <alignment vertical="center" wrapText="1"/>
      <protection locked="0"/>
    </xf>
    <xf numFmtId="164" fontId="4" fillId="0" borderId="155" xfId="7" applyNumberFormat="1" applyFont="1" applyBorder="1" applyAlignment="1" applyProtection="1">
      <alignment vertical="center" wrapText="1"/>
      <protection locked="0"/>
    </xf>
    <xf numFmtId="10" fontId="17" fillId="2" borderId="156" xfId="20961" applyNumberFormat="1" applyFont="1" applyFill="1" applyBorder="1" applyAlignment="1" applyProtection="1">
      <alignment vertical="center"/>
      <protection locked="0"/>
    </xf>
    <xf numFmtId="10" fontId="17" fillId="2" borderId="146" xfId="20961" applyNumberFormat="1" applyFont="1" applyFill="1" applyBorder="1" applyAlignment="1" applyProtection="1">
      <alignment vertical="center"/>
      <protection locked="0"/>
    </xf>
    <xf numFmtId="10" fontId="17" fillId="2" borderId="155" xfId="20961" applyNumberFormat="1" applyFont="1" applyFill="1" applyBorder="1" applyAlignment="1" applyProtection="1">
      <alignment vertical="center"/>
      <protection locked="0"/>
    </xf>
    <xf numFmtId="10" fontId="9" fillId="2" borderId="156" xfId="20961" applyNumberFormat="1" applyFont="1" applyFill="1" applyBorder="1" applyAlignment="1" applyProtection="1">
      <alignment vertical="center"/>
      <protection locked="0"/>
    </xf>
    <xf numFmtId="10" fontId="9" fillId="2" borderId="146" xfId="20961" applyNumberFormat="1" applyFont="1" applyFill="1" applyBorder="1" applyAlignment="1" applyProtection="1">
      <alignment vertical="center"/>
      <protection locked="0"/>
    </xf>
    <xf numFmtId="10" fontId="9" fillId="2" borderId="155" xfId="20961" applyNumberFormat="1" applyFont="1" applyFill="1" applyBorder="1" applyAlignment="1" applyProtection="1">
      <alignment vertical="center"/>
      <protection locked="0"/>
    </xf>
    <xf numFmtId="193" fontId="9" fillId="0" borderId="146" xfId="0" applyNumberFormat="1" applyFont="1" applyBorder="1" applyAlignment="1" applyProtection="1">
      <alignment vertical="center"/>
      <protection locked="0"/>
    </xf>
    <xf numFmtId="10" fontId="9" fillId="0" borderId="146" xfId="20961" applyNumberFormat="1" applyFont="1" applyFill="1" applyBorder="1" applyAlignment="1" applyProtection="1">
      <alignment vertical="center"/>
      <protection locked="0"/>
    </xf>
    <xf numFmtId="193" fontId="9" fillId="0" borderId="147" xfId="0" applyNumberFormat="1" applyFont="1" applyBorder="1" applyAlignment="1" applyProtection="1">
      <alignment vertical="center"/>
      <protection locked="0"/>
    </xf>
    <xf numFmtId="193" fontId="9" fillId="2" borderId="147" xfId="0" applyNumberFormat="1" applyFont="1" applyFill="1" applyBorder="1" applyAlignment="1" applyProtection="1">
      <alignment vertical="center"/>
      <protection locked="0"/>
    </xf>
    <xf numFmtId="9" fontId="9" fillId="0" borderId="153" xfId="20961" applyFont="1" applyFill="1" applyBorder="1" applyAlignment="1" applyProtection="1">
      <alignment vertical="center"/>
      <protection locked="0"/>
    </xf>
    <xf numFmtId="9" fontId="9" fillId="2" borderId="153" xfId="20961" applyFont="1" applyFill="1" applyBorder="1" applyAlignment="1" applyProtection="1">
      <alignment vertical="center"/>
      <protection locked="0"/>
    </xf>
    <xf numFmtId="9" fontId="17" fillId="2" borderId="153" xfId="20961" applyFont="1" applyFill="1" applyBorder="1" applyAlignment="1" applyProtection="1">
      <alignment vertical="center"/>
      <protection locked="0"/>
    </xf>
    <xf numFmtId="164" fontId="4" fillId="0" borderId="53" xfId="7" applyNumberFormat="1" applyFont="1" applyBorder="1" applyAlignment="1">
      <alignment vertical="center"/>
    </xf>
    <xf numFmtId="164" fontId="4" fillId="0" borderId="53" xfId="0" applyNumberFormat="1" applyFont="1" applyBorder="1" applyAlignment="1">
      <alignment vertical="center"/>
    </xf>
    <xf numFmtId="164" fontId="4" fillId="0" borderId="64" xfId="0" applyNumberFormat="1" applyFont="1" applyBorder="1" applyAlignment="1">
      <alignment vertical="center"/>
    </xf>
    <xf numFmtId="164" fontId="4" fillId="0" borderId="99" xfId="7" applyNumberFormat="1" applyFont="1" applyBorder="1" applyAlignment="1">
      <alignment vertical="center"/>
    </xf>
    <xf numFmtId="164" fontId="4" fillId="0" borderId="99" xfId="0" applyNumberFormat="1" applyFont="1" applyBorder="1" applyAlignment="1">
      <alignment vertical="center"/>
    </xf>
    <xf numFmtId="164" fontId="4" fillId="0" borderId="112" xfId="0" applyNumberFormat="1" applyFont="1" applyBorder="1" applyAlignment="1">
      <alignment vertical="center"/>
    </xf>
    <xf numFmtId="164" fontId="6" fillId="0" borderId="149" xfId="7" applyNumberFormat="1" applyFont="1" applyFill="1" applyBorder="1" applyAlignment="1">
      <alignment vertical="center"/>
    </xf>
    <xf numFmtId="164" fontId="6" fillId="0" borderId="153" xfId="0" applyNumberFormat="1" applyFont="1" applyBorder="1" applyAlignment="1">
      <alignment vertical="center"/>
    </xf>
    <xf numFmtId="164" fontId="4" fillId="0" borderId="26" xfId="7" applyNumberFormat="1" applyFont="1" applyFill="1" applyBorder="1" applyAlignment="1">
      <alignment vertical="center"/>
    </xf>
    <xf numFmtId="164" fontId="6" fillId="0" borderId="26" xfId="0" applyNumberFormat="1" applyFont="1" applyBorder="1" applyAlignment="1">
      <alignment vertical="center"/>
    </xf>
    <xf numFmtId="164" fontId="6" fillId="0" borderId="18" xfId="0" applyNumberFormat="1" applyFont="1" applyBorder="1" applyAlignment="1">
      <alignment vertical="center"/>
    </xf>
    <xf numFmtId="164" fontId="4" fillId="0" borderId="145" xfId="7" applyNumberFormat="1" applyFont="1" applyFill="1" applyBorder="1" applyAlignment="1">
      <alignment vertical="center"/>
    </xf>
    <xf numFmtId="9" fontId="4" fillId="0" borderId="93" xfId="20961" applyFont="1" applyFill="1" applyBorder="1" applyAlignment="1">
      <alignment vertical="center"/>
    </xf>
    <xf numFmtId="9" fontId="4" fillId="0" borderId="161" xfId="20961" applyFont="1" applyFill="1" applyBorder="1" applyAlignment="1">
      <alignment vertical="center"/>
    </xf>
    <xf numFmtId="164" fontId="120" fillId="0" borderId="138" xfId="7" applyNumberFormat="1" applyFont="1" applyBorder="1"/>
    <xf numFmtId="164" fontId="119" fillId="0" borderId="146" xfId="7" applyNumberFormat="1" applyFont="1" applyBorder="1"/>
    <xf numFmtId="164" fontId="116" fillId="0" borderId="146" xfId="7" applyNumberFormat="1" applyFont="1" applyBorder="1"/>
    <xf numFmtId="164" fontId="117" fillId="0" borderId="0" xfId="7" applyNumberFormat="1" applyFont="1"/>
    <xf numFmtId="164" fontId="117" fillId="0" borderId="0" xfId="0" applyNumberFormat="1" applyFont="1"/>
    <xf numFmtId="194" fontId="119" fillId="36" borderId="146" xfId="21413" applyNumberFormat="1" applyFont="1" applyFill="1" applyBorder="1"/>
    <xf numFmtId="43" fontId="119" fillId="0" borderId="146" xfId="7" applyFont="1" applyBorder="1"/>
    <xf numFmtId="164" fontId="116" fillId="0" borderId="146" xfId="0" applyNumberFormat="1" applyFont="1" applyBorder="1" applyAlignment="1">
      <alignment horizontal="left" indent="1"/>
    </xf>
    <xf numFmtId="164" fontId="116" fillId="0" borderId="146" xfId="7" applyNumberFormat="1" applyFont="1" applyBorder="1" applyAlignment="1">
      <alignment horizontal="left" indent="1"/>
    </xf>
    <xf numFmtId="164" fontId="119" fillId="0" borderId="146" xfId="0" applyNumberFormat="1" applyFont="1" applyBorder="1"/>
    <xf numFmtId="164" fontId="119" fillId="0" borderId="146" xfId="0" applyNumberFormat="1" applyFont="1" applyBorder="1" applyAlignment="1">
      <alignment horizontal="left" indent="1"/>
    </xf>
    <xf numFmtId="164" fontId="119" fillId="0" borderId="146" xfId="7" applyNumberFormat="1" applyFont="1" applyBorder="1" applyAlignment="1">
      <alignment horizontal="left" indent="1"/>
    </xf>
    <xf numFmtId="164" fontId="116" fillId="0" borderId="146" xfId="7" applyNumberFormat="1" applyFont="1" applyBorder="1" applyAlignment="1">
      <alignment horizontal="center" vertical="center" textRotation="90" wrapText="1"/>
    </xf>
    <xf numFmtId="164" fontId="116" fillId="0" borderId="146" xfId="7" applyNumberFormat="1" applyFont="1" applyBorder="1" applyAlignment="1">
      <alignment horizontal="center" vertical="center" wrapText="1"/>
    </xf>
    <xf numFmtId="164" fontId="116" fillId="0" borderId="146" xfId="7" applyNumberFormat="1" applyFont="1" applyBorder="1" applyAlignment="1">
      <alignment horizontal="center" vertical="center"/>
    </xf>
    <xf numFmtId="164" fontId="116" fillId="0" borderId="146" xfId="0" applyNumberFormat="1" applyFont="1" applyBorder="1" applyAlignment="1">
      <alignment horizontal="left" vertical="center" wrapText="1"/>
    </xf>
    <xf numFmtId="164" fontId="119" fillId="0" borderId="146" xfId="0" applyNumberFormat="1" applyFont="1" applyBorder="1" applyAlignment="1">
      <alignment horizontal="left" vertical="center" wrapText="1"/>
    </xf>
    <xf numFmtId="164" fontId="117" fillId="0" borderId="146" xfId="7" applyNumberFormat="1" applyFont="1" applyBorder="1"/>
    <xf numFmtId="164" fontId="120" fillId="0" borderId="146" xfId="7" applyNumberFormat="1" applyFont="1" applyBorder="1"/>
    <xf numFmtId="164" fontId="0" fillId="0" borderId="0" xfId="7" applyNumberFormat="1" applyFont="1"/>
    <xf numFmtId="164" fontId="116" fillId="0" borderId="156" xfId="7" applyNumberFormat="1" applyFont="1" applyBorder="1" applyAlignment="1">
      <alignment horizontal="left" indent="3"/>
    </xf>
    <xf numFmtId="164" fontId="119" fillId="0" borderId="156" xfId="7" applyNumberFormat="1" applyFont="1" applyBorder="1" applyAlignment="1">
      <alignment horizontal="left" indent="2"/>
    </xf>
    <xf numFmtId="164" fontId="9" fillId="0" borderId="146" xfId="7" applyNumberFormat="1" applyFont="1" applyBorder="1"/>
    <xf numFmtId="164" fontId="116" fillId="0" borderId="146" xfId="7" applyNumberFormat="1" applyFont="1" applyFill="1" applyBorder="1"/>
    <xf numFmtId="195" fontId="116" fillId="0" borderId="146" xfId="7" applyNumberFormat="1" applyFont="1" applyFill="1" applyBorder="1"/>
    <xf numFmtId="164" fontId="116" fillId="0" borderId="155" xfId="7" applyNumberFormat="1" applyFont="1" applyBorder="1"/>
    <xf numFmtId="164" fontId="119" fillId="0" borderId="69" xfId="0" applyNumberFormat="1" applyFont="1" applyBorder="1"/>
    <xf numFmtId="10" fontId="17" fillId="2" borderId="112" xfId="20961" applyNumberFormat="1" applyFont="1" applyFill="1" applyBorder="1" applyAlignment="1" applyProtection="1">
      <alignment vertical="center"/>
      <protection locked="0"/>
    </xf>
    <xf numFmtId="10" fontId="9" fillId="2" borderId="112" xfId="20961" applyNumberFormat="1" applyFont="1" applyFill="1" applyBorder="1" applyAlignment="1" applyProtection="1">
      <alignment vertical="center"/>
      <protection locked="0"/>
    </xf>
    <xf numFmtId="164" fontId="0" fillId="0" borderId="98" xfId="7" applyNumberFormat="1" applyFont="1" applyBorder="1"/>
    <xf numFmtId="164" fontId="0" fillId="36" borderId="98" xfId="7" applyNumberFormat="1" applyFont="1" applyFill="1" applyBorder="1"/>
    <xf numFmtId="164" fontId="0" fillId="0" borderId="98" xfId="7" applyNumberFormat="1" applyFont="1" applyBorder="1" applyAlignment="1">
      <alignment vertical="center"/>
    </xf>
    <xf numFmtId="164" fontId="0" fillId="36" borderId="98" xfId="7" applyNumberFormat="1" applyFont="1" applyFill="1" applyBorder="1" applyAlignment="1">
      <alignment vertical="center"/>
    </xf>
    <xf numFmtId="164" fontId="0" fillId="0" borderId="138" xfId="7" applyNumberFormat="1" applyFont="1" applyBorder="1"/>
    <xf numFmtId="164" fontId="0" fillId="36" borderId="138" xfId="7" applyNumberFormat="1" applyFont="1" applyFill="1" applyBorder="1"/>
    <xf numFmtId="43" fontId="0" fillId="0" borderId="0" xfId="7" applyFont="1"/>
    <xf numFmtId="164" fontId="0" fillId="0" borderId="0" xfId="0" applyNumberFormat="1"/>
    <xf numFmtId="10" fontId="17" fillId="2" borderId="98" xfId="20961" applyNumberFormat="1" applyFont="1" applyFill="1" applyBorder="1" applyAlignment="1" applyProtection="1">
      <alignment vertical="center"/>
      <protection locked="0"/>
    </xf>
    <xf numFmtId="10" fontId="9" fillId="2" borderId="98" xfId="20961" applyNumberFormat="1" applyFont="1" applyFill="1" applyBorder="1" applyAlignment="1" applyProtection="1">
      <alignment vertical="center"/>
      <protection locked="0"/>
    </xf>
    <xf numFmtId="10" fontId="17" fillId="2" borderId="98" xfId="20961" applyNumberFormat="1" applyFont="1" applyFill="1" applyBorder="1" applyAlignment="1" applyProtection="1">
      <alignment vertical="center"/>
    </xf>
    <xf numFmtId="164" fontId="9" fillId="2" borderId="98" xfId="7" applyNumberFormat="1" applyFont="1" applyFill="1" applyBorder="1" applyAlignment="1" applyProtection="1">
      <alignment vertical="center"/>
      <protection locked="0"/>
    </xf>
    <xf numFmtId="164" fontId="17" fillId="2" borderId="98" xfId="7" applyNumberFormat="1" applyFont="1" applyFill="1" applyBorder="1" applyAlignment="1" applyProtection="1">
      <alignment vertical="center"/>
      <protection locked="0"/>
    </xf>
    <xf numFmtId="10" fontId="9" fillId="2" borderId="98" xfId="20961" applyNumberFormat="1" applyFont="1" applyFill="1" applyBorder="1" applyAlignment="1" applyProtection="1">
      <alignment vertical="center"/>
    </xf>
    <xf numFmtId="9" fontId="9" fillId="2" borderId="98" xfId="20961" applyFont="1" applyFill="1" applyBorder="1" applyAlignment="1" applyProtection="1">
      <alignment vertical="center"/>
    </xf>
    <xf numFmtId="43" fontId="116" fillId="0" borderId="146" xfId="7" applyFont="1" applyFill="1" applyBorder="1" applyAlignment="1"/>
    <xf numFmtId="43" fontId="116" fillId="0" borderId="146" xfId="7" applyFont="1" applyFill="1" applyBorder="1"/>
    <xf numFmtId="43" fontId="119" fillId="0" borderId="146" xfId="7" applyFont="1" applyFill="1" applyBorder="1"/>
    <xf numFmtId="164" fontId="117" fillId="0" borderId="146" xfId="7" applyNumberFormat="1" applyFont="1" applyFill="1" applyBorder="1"/>
    <xf numFmtId="9" fontId="17" fillId="2" borderId="23" xfId="20961" applyFont="1" applyFill="1" applyBorder="1" applyAlignment="1" applyProtection="1">
      <alignment vertical="center"/>
      <protection locked="0"/>
    </xf>
    <xf numFmtId="9" fontId="17" fillId="2" borderId="24" xfId="20961" applyFont="1" applyFill="1" applyBorder="1" applyAlignment="1" applyProtection="1">
      <alignment vertical="center"/>
      <protection locked="0"/>
    </xf>
    <xf numFmtId="9" fontId="9" fillId="2" borderId="112" xfId="20961" applyFont="1" applyFill="1" applyBorder="1" applyAlignment="1" applyProtection="1">
      <alignment vertical="center"/>
      <protection locked="0"/>
    </xf>
    <xf numFmtId="10" fontId="17" fillId="2" borderId="112" xfId="20961" applyNumberFormat="1" applyFont="1" applyFill="1" applyBorder="1" applyAlignment="1" applyProtection="1">
      <alignment vertical="center"/>
    </xf>
    <xf numFmtId="164" fontId="0" fillId="0" borderId="138" xfId="7" applyNumberFormat="1" applyFont="1" applyFill="1" applyBorder="1"/>
    <xf numFmtId="164" fontId="120" fillId="0" borderId="138" xfId="7" applyNumberFormat="1" applyFont="1" applyFill="1" applyBorder="1"/>
    <xf numFmtId="194" fontId="117" fillId="0" borderId="0" xfId="0" applyNumberFormat="1" applyFont="1"/>
    <xf numFmtId="43" fontId="117" fillId="0" borderId="0" xfId="0" applyNumberFormat="1" applyFont="1"/>
    <xf numFmtId="164" fontId="4" fillId="0" borderId="0" xfId="7" applyNumberFormat="1" applyFont="1"/>
    <xf numFmtId="164" fontId="4" fillId="36" borderId="24" xfId="7" applyNumberFormat="1" applyFont="1" applyFill="1" applyBorder="1"/>
    <xf numFmtId="0" fontId="7" fillId="0" borderId="3" xfId="13" applyFont="1" applyBorder="1" applyAlignment="1" applyProtection="1">
      <alignment horizontal="left" vertical="center"/>
      <protection locked="0"/>
    </xf>
    <xf numFmtId="193" fontId="0" fillId="0" borderId="0" xfId="0" applyNumberFormat="1"/>
    <xf numFmtId="165" fontId="9" fillId="2" borderId="23" xfId="20961" applyNumberFormat="1" applyFont="1" applyFill="1" applyBorder="1" applyAlignment="1" applyProtection="1">
      <alignment vertical="center"/>
      <protection locked="0"/>
    </xf>
    <xf numFmtId="0" fontId="9" fillId="0" borderId="156" xfId="0" applyFont="1" applyBorder="1" applyAlignment="1">
      <alignment vertical="center"/>
    </xf>
    <xf numFmtId="0" fontId="13" fillId="0" borderId="149" xfId="0" applyFont="1" applyBorder="1" applyAlignment="1">
      <alignment wrapText="1"/>
    </xf>
    <xf numFmtId="0" fontId="9" fillId="0" borderId="106" xfId="0" applyFont="1" applyBorder="1" applyAlignment="1">
      <alignment vertical="center"/>
    </xf>
    <xf numFmtId="0" fontId="13" fillId="0" borderId="145" xfId="0" applyFont="1" applyBorder="1" applyAlignment="1">
      <alignment wrapText="1"/>
    </xf>
    <xf numFmtId="10" fontId="4" fillId="0" borderId="155" xfId="20961" applyNumberFormat="1" applyFont="1" applyBorder="1"/>
    <xf numFmtId="10" fontId="4" fillId="0" borderId="112" xfId="20961" applyNumberFormat="1" applyFont="1" applyBorder="1"/>
    <xf numFmtId="10" fontId="4" fillId="0" borderId="107" xfId="20961" applyNumberFormat="1" applyFont="1" applyBorder="1"/>
    <xf numFmtId="10" fontId="113" fillId="79" borderId="98" xfId="20961" applyNumberFormat="1" applyFont="1" applyFill="1" applyBorder="1" applyAlignment="1" applyProtection="1">
      <alignment horizontal="right" vertical="center"/>
    </xf>
    <xf numFmtId="164" fontId="6" fillId="0" borderId="98" xfId="7" applyNumberFormat="1" applyFont="1" applyBorder="1"/>
    <xf numFmtId="164" fontId="6" fillId="0" borderId="98" xfId="7" applyNumberFormat="1" applyFont="1" applyBorder="1" applyAlignment="1">
      <alignment vertical="center"/>
    </xf>
    <xf numFmtId="164" fontId="6" fillId="0" borderId="98" xfId="7" applyNumberFormat="1" applyFont="1" applyFill="1" applyBorder="1"/>
    <xf numFmtId="164" fontId="6" fillId="0" borderId="98" xfId="7" applyNumberFormat="1" applyFont="1" applyFill="1" applyBorder="1" applyAlignment="1">
      <alignment vertical="center"/>
    </xf>
    <xf numFmtId="164" fontId="111" fillId="0" borderId="146" xfId="7" applyNumberFormat="1" applyFont="1" applyBorder="1"/>
    <xf numFmtId="196" fontId="9" fillId="0" borderId="146" xfId="7" applyNumberFormat="1" applyFont="1" applyBorder="1"/>
    <xf numFmtId="196" fontId="111" fillId="0" borderId="146" xfId="7" applyNumberFormat="1" applyFont="1" applyBorder="1"/>
    <xf numFmtId="196" fontId="125" fillId="0" borderId="0" xfId="7" applyNumberFormat="1" applyFont="1"/>
    <xf numFmtId="164" fontId="121" fillId="0" borderId="146" xfId="7" applyNumberFormat="1" applyFont="1" applyBorder="1"/>
    <xf numFmtId="164" fontId="121" fillId="0" borderId="147" xfId="7" applyNumberFormat="1" applyFont="1" applyBorder="1"/>
    <xf numFmtId="164" fontId="121" fillId="0" borderId="146" xfId="0" applyNumberFormat="1" applyFont="1" applyBorder="1"/>
    <xf numFmtId="164" fontId="143" fillId="0" borderId="146" xfId="7" applyNumberFormat="1" applyFont="1" applyBorder="1"/>
    <xf numFmtId="164" fontId="121" fillId="0" borderId="146" xfId="7" applyNumberFormat="1" applyFont="1" applyFill="1" applyBorder="1"/>
    <xf numFmtId="164" fontId="121" fillId="0" borderId="147" xfId="7" applyNumberFormat="1" applyFont="1" applyFill="1" applyBorder="1"/>
    <xf numFmtId="10" fontId="121" fillId="0" borderId="146" xfId="20961" applyNumberFormat="1" applyFont="1" applyBorder="1"/>
    <xf numFmtId="10" fontId="121" fillId="0" borderId="147" xfId="20961" applyNumberFormat="1" applyFont="1" applyBorder="1"/>
    <xf numFmtId="10" fontId="143" fillId="0" borderId="146" xfId="20961" applyNumberFormat="1" applyFont="1" applyBorder="1"/>
    <xf numFmtId="43" fontId="143" fillId="0" borderId="146" xfId="7" applyFont="1" applyBorder="1"/>
    <xf numFmtId="164" fontId="4"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right" vertical="center" wrapText="1"/>
    </xf>
    <xf numFmtId="164" fontId="109"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center" vertical="center" wrapText="1"/>
    </xf>
    <xf numFmtId="164" fontId="7" fillId="0" borderId="24" xfId="7" applyNumberFormat="1" applyFont="1" applyFill="1" applyBorder="1" applyAlignment="1" applyProtection="1">
      <alignment horizontal="right" vertical="center"/>
    </xf>
    <xf numFmtId="10" fontId="4" fillId="0" borderId="98" xfId="20961" applyNumberFormat="1" applyFont="1" applyFill="1" applyBorder="1" applyAlignment="1" applyProtection="1">
      <alignment horizontal="right" vertical="center" wrapText="1"/>
    </xf>
    <xf numFmtId="0" fontId="11" fillId="0" borderId="3" xfId="17" applyBorder="1" applyAlignment="1" applyProtection="1"/>
    <xf numFmtId="164" fontId="3" fillId="0" borderId="98" xfId="7" applyNumberFormat="1" applyFont="1" applyBorder="1"/>
    <xf numFmtId="43" fontId="0" fillId="0" borderId="0" xfId="0" applyNumberFormat="1"/>
    <xf numFmtId="164" fontId="3" fillId="0" borderId="138" xfId="7" applyNumberFormat="1" applyFont="1" applyBorder="1"/>
    <xf numFmtId="164" fontId="116" fillId="0" borderId="146" xfId="7" applyNumberFormat="1" applyFont="1" applyFill="1" applyBorder="1" applyAlignment="1"/>
    <xf numFmtId="43" fontId="117" fillId="0" borderId="0" xfId="7" applyFont="1" applyFill="1" applyAlignment="1"/>
    <xf numFmtId="165" fontId="9" fillId="0" borderId="146" xfId="20961" applyNumberFormat="1" applyFont="1" applyFill="1" applyBorder="1" applyAlignment="1" applyProtection="1">
      <alignment vertical="center"/>
      <protection locked="0"/>
    </xf>
    <xf numFmtId="164" fontId="119" fillId="0" borderId="156" xfId="7" applyNumberFormat="1" applyFont="1" applyBorder="1" applyAlignment="1">
      <alignment horizontal="left" wrapText="1" indent="3"/>
    </xf>
    <xf numFmtId="164" fontId="119" fillId="0" borderId="156" xfId="7" applyNumberFormat="1" applyFont="1" applyFill="1" applyBorder="1" applyAlignment="1">
      <alignment horizontal="left" indent="2"/>
    </xf>
    <xf numFmtId="164" fontId="4" fillId="0" borderId="146" xfId="7" applyNumberFormat="1" applyFont="1" applyFill="1" applyBorder="1"/>
    <xf numFmtId="164" fontId="0" fillId="0" borderId="0" xfId="7" applyNumberFormat="1" applyFont="1" applyFill="1"/>
    <xf numFmtId="164" fontId="0" fillId="0" borderId="146" xfId="7" applyNumberFormat="1" applyFont="1" applyFill="1" applyBorder="1"/>
    <xf numFmtId="164" fontId="116" fillId="0" borderId="146" xfId="0" applyNumberFormat="1" applyFont="1" applyBorder="1"/>
    <xf numFmtId="164" fontId="116" fillId="0" borderId="149" xfId="0" applyNumberFormat="1" applyFont="1" applyBorder="1"/>
    <xf numFmtId="164" fontId="9" fillId="0" borderId="146" xfId="7" applyNumberFormat="1" applyFont="1" applyFill="1" applyBorder="1"/>
    <xf numFmtId="164" fontId="4" fillId="0" borderId="127" xfId="7" applyNumberFormat="1" applyFont="1" applyFill="1" applyBorder="1"/>
    <xf numFmtId="164" fontId="4" fillId="0" borderId="0" xfId="7" applyNumberFormat="1" applyFont="1" applyFill="1" applyBorder="1"/>
    <xf numFmtId="164" fontId="4" fillId="0" borderId="98" xfId="7" applyNumberFormat="1" applyFont="1" applyFill="1" applyBorder="1"/>
    <xf numFmtId="164" fontId="4" fillId="0" borderId="98" xfId="7" applyNumberFormat="1" applyFont="1" applyFill="1" applyBorder="1" applyAlignment="1"/>
    <xf numFmtId="164" fontId="4" fillId="0" borderId="98" xfId="7" applyNumberFormat="1" applyFont="1" applyFill="1" applyBorder="1" applyAlignment="1">
      <alignment horizontal="center"/>
    </xf>
    <xf numFmtId="164" fontId="4" fillId="0" borderId="98" xfId="7" applyNumberFormat="1" applyFont="1" applyFill="1" applyBorder="1" applyAlignment="1">
      <alignment vertical="center"/>
    </xf>
    <xf numFmtId="164" fontId="4" fillId="0" borderId="112" xfId="7" applyNumberFormat="1" applyFont="1" applyFill="1" applyBorder="1"/>
    <xf numFmtId="10" fontId="121" fillId="0" borderId="146" xfId="20961" applyNumberFormat="1" applyFont="1" applyFill="1" applyBorder="1"/>
    <xf numFmtId="43" fontId="121" fillId="0" borderId="146" xfId="7" applyFont="1" applyFill="1" applyBorder="1"/>
    <xf numFmtId="164" fontId="116" fillId="0" borderId="0" xfId="0" applyNumberFormat="1" applyFont="1"/>
    <xf numFmtId="193" fontId="10" fillId="0" borderId="138" xfId="0" applyNumberFormat="1" applyFont="1" applyBorder="1" applyAlignment="1">
      <alignment horizontal="right"/>
    </xf>
    <xf numFmtId="43" fontId="6" fillId="0" borderId="138" xfId="7" applyFont="1" applyFill="1" applyBorder="1" applyAlignment="1">
      <alignment vertical="center" wrapText="1"/>
    </xf>
    <xf numFmtId="164" fontId="9" fillId="0" borderId="98" xfId="7" applyNumberFormat="1" applyFont="1" applyFill="1" applyBorder="1" applyAlignment="1" applyProtection="1">
      <alignment vertical="center"/>
      <protection locked="0"/>
    </xf>
    <xf numFmtId="9" fontId="9" fillId="0" borderId="98" xfId="20961" applyFont="1" applyFill="1" applyBorder="1" applyAlignment="1" applyProtection="1">
      <alignment vertical="center"/>
      <protection locked="0"/>
    </xf>
    <xf numFmtId="164" fontId="1" fillId="0" borderId="98" xfId="7" applyNumberFormat="1" applyFont="1" applyBorder="1"/>
    <xf numFmtId="3" fontId="7" fillId="0" borderId="146" xfId="5" applyNumberFormat="1" applyFont="1" applyBorder="1" applyProtection="1">
      <protection locked="0"/>
    </xf>
    <xf numFmtId="164" fontId="4" fillId="0" borderId="3" xfId="7" applyNumberFormat="1" applyFont="1" applyBorder="1"/>
    <xf numFmtId="164" fontId="113" fillId="0" borderId="98" xfId="948" applyNumberFormat="1" applyFont="1" applyFill="1" applyBorder="1" applyAlignment="1" applyProtection="1">
      <alignment horizontal="right" vertical="center"/>
    </xf>
    <xf numFmtId="164" fontId="23" fillId="0" borderId="0" xfId="7" applyNumberFormat="1" applyFont="1"/>
    <xf numFmtId="164" fontId="102" fillId="0" borderId="0" xfId="0" applyNumberFormat="1" applyFont="1"/>
    <xf numFmtId="43" fontId="116" fillId="0" borderId="146" xfId="7" applyFont="1" applyBorder="1"/>
    <xf numFmtId="43" fontId="4" fillId="0" borderId="127" xfId="7" applyFont="1" applyFill="1" applyBorder="1"/>
    <xf numFmtId="0" fontId="104" fillId="0" borderId="66" xfId="0" applyFont="1" applyBorder="1" applyAlignment="1">
      <alignment horizontal="left" vertical="center" wrapText="1"/>
    </xf>
    <xf numFmtId="0" fontId="104" fillId="0" borderId="65" xfId="0" applyFont="1" applyBorder="1" applyAlignment="1">
      <alignment horizontal="left" vertical="center" wrapText="1"/>
    </xf>
    <xf numFmtId="0" fontId="141" fillId="0" borderId="159" xfId="0" applyFont="1" applyBorder="1" applyAlignment="1">
      <alignment horizontal="center" vertical="center"/>
    </xf>
    <xf numFmtId="0" fontId="141" fillId="0" borderId="29" xfId="0" applyFont="1" applyBorder="1" applyAlignment="1">
      <alignment horizontal="center" vertical="center"/>
    </xf>
    <xf numFmtId="0" fontId="141" fillId="0" borderId="160" xfId="0" applyFont="1" applyBorder="1" applyAlignment="1">
      <alignment horizontal="center" vertical="center"/>
    </xf>
    <xf numFmtId="0" fontId="142" fillId="0" borderId="159" xfId="0" applyFont="1" applyBorder="1" applyAlignment="1">
      <alignment horizontal="center" wrapText="1"/>
    </xf>
    <xf numFmtId="0" fontId="142" fillId="0" borderId="29" xfId="0" applyFont="1" applyBorder="1" applyAlignment="1">
      <alignment horizontal="center" wrapText="1"/>
    </xf>
    <xf numFmtId="0" fontId="142" fillId="0" borderId="160" xfId="0" applyFont="1" applyBorder="1" applyAlignment="1">
      <alignment horizontal="center" wrapText="1"/>
    </xf>
    <xf numFmtId="164" fontId="0" fillId="0" borderId="99" xfId="7" applyNumberFormat="1" applyFont="1" applyBorder="1" applyAlignment="1">
      <alignment horizontal="center"/>
    </xf>
    <xf numFmtId="164" fontId="0" fillId="0" borderId="96" xfId="7" applyNumberFormat="1" applyFont="1" applyBorder="1" applyAlignment="1">
      <alignment horizontal="center"/>
    </xf>
    <xf numFmtId="164" fontId="0" fillId="0" borderId="97" xfId="7" applyNumberFormat="1" applyFont="1" applyBorder="1" applyAlignment="1">
      <alignment horizontal="center"/>
    </xf>
    <xf numFmtId="164" fontId="0" fillId="0" borderId="139" xfId="7" applyNumberFormat="1" applyFont="1" applyBorder="1" applyAlignment="1">
      <alignment horizontal="center"/>
    </xf>
    <xf numFmtId="164" fontId="0" fillId="0" borderId="140" xfId="7" applyNumberFormat="1" applyFont="1" applyBorder="1" applyAlignment="1">
      <alignment horizontal="center"/>
    </xf>
    <xf numFmtId="164" fontId="0" fillId="0" borderId="141" xfId="7" applyNumberFormat="1" applyFont="1" applyBorder="1" applyAlignment="1">
      <alignment horizontal="center"/>
    </xf>
    <xf numFmtId="0" fontId="0" fillId="0" borderId="138" xfId="0" applyBorder="1" applyAlignment="1">
      <alignment horizontal="center" vertical="center"/>
    </xf>
    <xf numFmtId="0" fontId="128" fillId="0" borderId="94" xfId="0" applyFont="1" applyBorder="1" applyAlignment="1">
      <alignment horizontal="center" vertical="center"/>
    </xf>
    <xf numFmtId="0" fontId="128"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0" fillId="0" borderId="99"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128" fillId="0" borderId="142"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8" xfId="0" applyBorder="1" applyAlignment="1">
      <alignment horizontal="center" vertical="center"/>
    </xf>
    <xf numFmtId="0" fontId="0" fillId="0" borderId="11" xfId="0" applyBorder="1" applyAlignment="1">
      <alignment horizontal="center" vertical="center"/>
    </xf>
    <xf numFmtId="0" fontId="0" fillId="0" borderId="138" xfId="0" applyBorder="1" applyAlignment="1">
      <alignment horizontal="center" vertical="center" wrapText="1"/>
    </xf>
    <xf numFmtId="0" fontId="10" fillId="0" borderId="17" xfId="0" applyFont="1" applyBorder="1" applyAlignment="1">
      <alignment horizontal="center"/>
    </xf>
    <xf numFmtId="0" fontId="10" fillId="0" borderId="18" xfId="0" applyFont="1" applyBorder="1" applyAlignment="1">
      <alignment horizontal="center"/>
    </xf>
    <xf numFmtId="0" fontId="13"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xf>
    <xf numFmtId="0" fontId="4" fillId="0" borderId="21" xfId="0" applyFont="1" applyBorder="1" applyAlignment="1">
      <alignment horizontal="center"/>
    </xf>
    <xf numFmtId="0" fontId="6" fillId="36" borderId="116"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6" fillId="36" borderId="97" xfId="0" applyFont="1" applyFill="1" applyBorder="1" applyAlignment="1">
      <alignment horizontal="center" vertical="center" wrapText="1"/>
    </xf>
    <xf numFmtId="0" fontId="101" fillId="3" borderId="67" xfId="13" applyFont="1" applyFill="1" applyBorder="1" applyAlignment="1" applyProtection="1">
      <alignment horizontal="center" vertical="center" wrapText="1"/>
      <protection locked="0"/>
    </xf>
    <xf numFmtId="0" fontId="101" fillId="3" borderId="64"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4" fontId="15" fillId="0" borderId="90" xfId="1" applyNumberFormat="1" applyFont="1" applyFill="1" applyBorder="1" applyAlignment="1" applyProtection="1">
      <alignment horizontal="center" vertical="center" wrapText="1"/>
      <protection locked="0"/>
    </xf>
    <xf numFmtId="164" fontId="15" fillId="0" borderId="91" xfId="1"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05" xfId="0" applyFont="1" applyBorder="1" applyAlignment="1">
      <alignment horizontal="center" vertical="center" wrapText="1"/>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2" xfId="0" applyFont="1" applyBorder="1" applyAlignment="1">
      <alignment horizontal="center" vertical="center" wrapText="1"/>
    </xf>
    <xf numFmtId="0" fontId="119" fillId="0" borderId="119" xfId="0" applyFont="1" applyBorder="1" applyAlignment="1">
      <alignment horizontal="left" vertical="center" wrapText="1"/>
    </xf>
    <xf numFmtId="0" fontId="119" fillId="0" borderId="120" xfId="0" applyFont="1" applyBorder="1" applyAlignment="1">
      <alignment horizontal="left" vertical="center" wrapText="1"/>
    </xf>
    <xf numFmtId="0" fontId="119" fillId="0" borderId="122" xfId="0" applyFont="1" applyBorder="1" applyAlignment="1">
      <alignment horizontal="left" vertical="center" wrapText="1"/>
    </xf>
    <xf numFmtId="0" fontId="119" fillId="0" borderId="123" xfId="0" applyFont="1" applyBorder="1" applyAlignment="1">
      <alignment horizontal="left" vertical="center" wrapText="1"/>
    </xf>
    <xf numFmtId="0" fontId="119" fillId="0" borderId="125" xfId="0" applyFont="1" applyBorder="1" applyAlignment="1">
      <alignment horizontal="left" vertical="center" wrapText="1"/>
    </xf>
    <xf numFmtId="0" fontId="119" fillId="0" borderId="126" xfId="0" applyFont="1" applyBorder="1" applyAlignment="1">
      <alignment horizontal="left" vertical="center" wrapText="1"/>
    </xf>
    <xf numFmtId="0" fontId="120" fillId="0" borderId="145" xfId="0" applyFont="1" applyBorder="1" applyAlignment="1">
      <alignment horizontal="center" vertical="center" wrapText="1"/>
    </xf>
    <xf numFmtId="0" fontId="120" fillId="0" borderId="144" xfId="0" applyFont="1" applyBorder="1" applyAlignment="1">
      <alignment horizontal="center" vertical="center" wrapText="1"/>
    </xf>
    <xf numFmtId="0" fontId="120" fillId="0" borderId="121" xfId="0" applyFont="1" applyBorder="1" applyAlignment="1">
      <alignment horizontal="center" vertical="center" wrapText="1"/>
    </xf>
    <xf numFmtId="0" fontId="120" fillId="0" borderId="53" xfId="0" applyFont="1" applyBorder="1" applyAlignment="1">
      <alignment horizontal="center" vertical="center" wrapText="1"/>
    </xf>
    <xf numFmtId="0" fontId="120" fillId="0" borderId="124"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6" xfId="0" applyFont="1" applyBorder="1" applyAlignment="1">
      <alignment horizontal="center" vertical="center" wrapText="1"/>
    </xf>
    <xf numFmtId="0" fontId="116" fillId="0" borderId="149" xfId="0" applyFont="1" applyBorder="1" applyAlignment="1">
      <alignment horizontal="center" vertical="center" wrapText="1"/>
    </xf>
    <xf numFmtId="0" fontId="116" fillId="0" borderId="148" xfId="0" applyFont="1" applyBorder="1" applyAlignment="1">
      <alignment horizontal="center" vertical="center" wrapText="1"/>
    </xf>
    <xf numFmtId="0" fontId="124" fillId="0" borderId="146" xfId="0" applyFont="1" applyBorder="1" applyAlignment="1">
      <alignment horizontal="center" vertical="center"/>
    </xf>
    <xf numFmtId="0" fontId="118" fillId="0" borderId="145" xfId="0" applyFont="1" applyBorder="1" applyAlignment="1">
      <alignment horizontal="center" vertical="center"/>
    </xf>
    <xf numFmtId="0" fontId="118" fillId="0" borderId="150" xfId="0" applyFont="1" applyBorder="1" applyAlignment="1">
      <alignment horizontal="center" vertical="center"/>
    </xf>
    <xf numFmtId="0" fontId="118" fillId="0" borderId="53" xfId="0" applyFont="1" applyBorder="1" applyAlignment="1">
      <alignment horizontal="center" vertical="center"/>
    </xf>
    <xf numFmtId="0" fontId="118" fillId="0" borderId="11" xfId="0" applyFont="1" applyBorder="1" applyAlignment="1">
      <alignment horizontal="center" vertical="center"/>
    </xf>
    <xf numFmtId="0" fontId="119" fillId="0" borderId="146" xfId="0" applyFont="1" applyBorder="1" applyAlignment="1">
      <alignment horizontal="center" vertical="center" wrapText="1"/>
    </xf>
    <xf numFmtId="0" fontId="119" fillId="0" borderId="145" xfId="0" applyFont="1" applyBorder="1" applyAlignment="1">
      <alignment horizontal="center" vertical="center" wrapText="1"/>
    </xf>
    <xf numFmtId="0" fontId="119" fillId="0" borderId="150" xfId="0" applyFont="1" applyBorder="1" applyAlignment="1">
      <alignment horizontal="center" vertical="center" wrapText="1"/>
    </xf>
    <xf numFmtId="0" fontId="119" fillId="0" borderId="127"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53"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51" xfId="0" applyFont="1" applyBorder="1" applyAlignment="1">
      <alignment horizontal="center" vertical="center" wrapText="1"/>
    </xf>
    <xf numFmtId="0" fontId="119" fillId="0" borderId="129"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9" xfId="0" applyFont="1" applyBorder="1" applyAlignment="1">
      <alignment horizontal="center" vertical="center" wrapText="1"/>
    </xf>
    <xf numFmtId="0" fontId="116" fillId="0" borderId="145"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0"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55"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55" xfId="0" applyFont="1" applyBorder="1" applyAlignment="1">
      <alignment horizontal="center" vertical="center" wrapText="1"/>
    </xf>
    <xf numFmtId="0" fontId="116" fillId="0" borderId="105" xfId="0" applyFont="1" applyBorder="1" applyAlignment="1">
      <alignment horizontal="center" vertical="center" wrapText="1"/>
    </xf>
    <xf numFmtId="0" fontId="119" fillId="0" borderId="54" xfId="0" applyFont="1" applyBorder="1" applyAlignment="1">
      <alignment horizontal="left" vertical="top" wrapText="1"/>
    </xf>
    <xf numFmtId="0" fontId="119" fillId="0" borderId="105" xfId="0" applyFont="1" applyBorder="1" applyAlignment="1">
      <alignment horizontal="left" vertical="top" wrapText="1"/>
    </xf>
    <xf numFmtId="0" fontId="119" fillId="0" borderId="63" xfId="0" applyFont="1" applyBorder="1" applyAlignment="1">
      <alignment horizontal="left" vertical="top" wrapText="1"/>
    </xf>
    <xf numFmtId="0" fontId="119" fillId="0" borderId="92" xfId="0" applyFont="1" applyBorder="1" applyAlignment="1">
      <alignment horizontal="left" vertical="top" wrapText="1"/>
    </xf>
    <xf numFmtId="0" fontId="119" fillId="0" borderId="118" xfId="0" applyFont="1" applyBorder="1" applyAlignment="1">
      <alignment horizontal="left" vertical="top" wrapText="1"/>
    </xf>
    <xf numFmtId="0" fontId="119" fillId="0" borderId="157" xfId="0" applyFont="1" applyBorder="1" applyAlignment="1">
      <alignment horizontal="left" vertical="top" wrapText="1"/>
    </xf>
    <xf numFmtId="0" fontId="119" fillId="0" borderId="158" xfId="0" applyFont="1" applyBorder="1" applyAlignment="1">
      <alignment horizontal="center" vertical="center" wrapText="1"/>
    </xf>
    <xf numFmtId="0" fontId="119" fillId="0" borderId="69" xfId="0" applyFont="1" applyBorder="1" applyAlignment="1">
      <alignment horizontal="center" vertical="center" wrapText="1"/>
    </xf>
    <xf numFmtId="0" fontId="116" fillId="0" borderId="145" xfId="0" applyFont="1" applyBorder="1" applyAlignment="1">
      <alignment horizontal="center" vertical="top" wrapText="1"/>
    </xf>
    <xf numFmtId="0" fontId="116" fillId="0" borderId="144" xfId="0" applyFont="1" applyBorder="1" applyAlignment="1">
      <alignment horizontal="center" vertical="top" wrapText="1"/>
    </xf>
    <xf numFmtId="0" fontId="116" fillId="0" borderId="151" xfId="0" applyFont="1" applyBorder="1" applyAlignment="1">
      <alignment horizontal="center" vertical="top" wrapText="1"/>
    </xf>
    <xf numFmtId="0" fontId="116" fillId="0" borderId="148" xfId="0" applyFont="1" applyBorder="1" applyAlignment="1">
      <alignment horizontal="center" vertical="top" wrapText="1"/>
    </xf>
    <xf numFmtId="0" fontId="105" fillId="0" borderId="130" xfId="0" applyFont="1" applyBorder="1" applyAlignment="1">
      <alignment horizontal="left" vertical="top" wrapText="1"/>
    </xf>
    <xf numFmtId="0" fontId="105" fillId="0" borderId="131" xfId="0" applyFont="1" applyBorder="1" applyAlignment="1">
      <alignment horizontal="left" vertical="top" wrapText="1"/>
    </xf>
    <xf numFmtId="0" fontId="122" fillId="0" borderId="146" xfId="0" applyFont="1" applyBorder="1" applyAlignment="1">
      <alignment horizontal="center" vertical="center"/>
    </xf>
    <xf numFmtId="0" fontId="121" fillId="0" borderId="146" xfId="0" applyFont="1" applyBorder="1" applyAlignment="1">
      <alignment horizontal="center" vertical="center" wrapText="1"/>
    </xf>
    <xf numFmtId="0" fontId="121" fillId="0" borderId="147" xfId="0" applyFont="1" applyBorder="1" applyAlignment="1">
      <alignment horizontal="center" vertical="center" wrapText="1"/>
    </xf>
    <xf numFmtId="0" fontId="105" fillId="0" borderId="70" xfId="0" applyFont="1" applyBorder="1" applyAlignment="1">
      <alignment horizontal="center" vertical="center"/>
    </xf>
    <xf numFmtId="0" fontId="105" fillId="0" borderId="71" xfId="0" applyFont="1" applyBorder="1" applyAlignment="1">
      <alignment horizontal="center" vertical="center"/>
    </xf>
    <xf numFmtId="0" fontId="105" fillId="0" borderId="72" xfId="0" applyFont="1" applyBorder="1" applyAlignment="1">
      <alignment horizontal="center" vertical="center"/>
    </xf>
    <xf numFmtId="0" fontId="106" fillId="0" borderId="98" xfId="0" applyFont="1" applyBorder="1" applyAlignment="1">
      <alignment horizontal="left"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5" fillId="76" borderId="75" xfId="0" applyFont="1" applyFill="1" applyBorder="1" applyAlignment="1">
      <alignment horizontal="center" vertical="center" wrapText="1"/>
    </xf>
    <xf numFmtId="0" fontId="106" fillId="0" borderId="53"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99" xfId="0" applyFont="1" applyBorder="1" applyAlignment="1">
      <alignment horizontal="left" vertical="center" wrapText="1"/>
    </xf>
    <xf numFmtId="0" fontId="106" fillId="0" borderId="97" xfId="0" applyFont="1" applyBorder="1" applyAlignment="1">
      <alignment horizontal="left" vertical="center" wrapText="1"/>
    </xf>
    <xf numFmtId="0" fontId="106" fillId="3" borderId="99" xfId="0" applyFont="1" applyFill="1" applyBorder="1" applyAlignment="1">
      <alignment vertical="center" wrapText="1"/>
    </xf>
    <xf numFmtId="0" fontId="106" fillId="3" borderId="97" xfId="0" applyFont="1" applyFill="1" applyBorder="1" applyAlignment="1">
      <alignment vertical="center" wrapText="1"/>
    </xf>
    <xf numFmtId="0" fontId="106" fillId="0" borderId="99" xfId="0" applyFont="1" applyBorder="1" applyAlignment="1">
      <alignment horizontal="left"/>
    </xf>
    <xf numFmtId="0" fontId="106" fillId="0" borderId="97" xfId="0" applyFont="1" applyBorder="1" applyAlignment="1">
      <alignment horizontal="left"/>
    </xf>
    <xf numFmtId="0" fontId="106" fillId="82" borderId="99" xfId="0" applyFont="1" applyFill="1" applyBorder="1" applyAlignment="1">
      <alignment vertical="center" wrapText="1"/>
    </xf>
    <xf numFmtId="0" fontId="106" fillId="82" borderId="97" xfId="0" applyFont="1" applyFill="1" applyBorder="1" applyAlignment="1">
      <alignment vertical="center" wrapText="1"/>
    </xf>
    <xf numFmtId="0" fontId="106" fillId="82" borderId="139" xfId="0" applyFont="1" applyFill="1" applyBorder="1" applyAlignment="1">
      <alignment horizontal="left" vertical="center" wrapText="1"/>
    </xf>
    <xf numFmtId="0" fontId="106" fillId="82" borderId="140" xfId="0" applyFont="1" applyFill="1" applyBorder="1" applyAlignment="1">
      <alignment horizontal="left" vertical="center" wrapText="1"/>
    </xf>
    <xf numFmtId="0" fontId="106" fillId="82" borderId="141"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3" borderId="78"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81"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6" fillId="0" borderId="77" xfId="0" applyFont="1" applyBorder="1" applyAlignment="1">
      <alignment horizontal="left" vertical="center" wrapText="1"/>
    </xf>
    <xf numFmtId="0" fontId="106" fillId="0" borderId="78" xfId="0" applyFont="1" applyBorder="1" applyAlignment="1">
      <alignment horizontal="left" vertical="center" wrapText="1"/>
    </xf>
    <xf numFmtId="0" fontId="106" fillId="3" borderId="99" xfId="0" applyFont="1" applyFill="1" applyBorder="1" applyAlignment="1">
      <alignment horizontal="left" vertical="center" wrapText="1"/>
    </xf>
    <xf numFmtId="0" fontId="106" fillId="3" borderId="97" xfId="0" applyFont="1" applyFill="1" applyBorder="1" applyAlignment="1">
      <alignment horizontal="left" vertical="center" wrapText="1"/>
    </xf>
    <xf numFmtId="0" fontId="105" fillId="76" borderId="82"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83" xfId="0" applyFont="1" applyFill="1" applyBorder="1" applyAlignment="1">
      <alignment horizontal="center" vertical="center" wrapText="1"/>
    </xf>
    <xf numFmtId="0" fontId="106" fillId="77" borderId="99" xfId="0" applyFont="1" applyFill="1" applyBorder="1" applyAlignment="1">
      <alignment vertical="center" wrapText="1"/>
    </xf>
    <xf numFmtId="0" fontId="106" fillId="77" borderId="97" xfId="0" applyFont="1" applyFill="1" applyBorder="1" applyAlignment="1">
      <alignment vertical="center" wrapText="1"/>
    </xf>
    <xf numFmtId="0" fontId="106" fillId="0" borderId="99" xfId="0" applyFont="1" applyBorder="1" applyAlignment="1">
      <alignment vertical="center" wrapText="1"/>
    </xf>
    <xf numFmtId="0" fontId="106" fillId="0" borderId="97" xfId="0" applyFont="1" applyBorder="1" applyAlignment="1">
      <alignment vertical="center" wrapText="1"/>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5" fillId="76" borderId="89" xfId="0" applyFont="1" applyFill="1" applyBorder="1" applyAlignment="1">
      <alignment horizontal="center" vertical="center"/>
    </xf>
    <xf numFmtId="0" fontId="105" fillId="76" borderId="146" xfId="0" applyFont="1" applyFill="1" applyBorder="1" applyAlignment="1">
      <alignment horizontal="center" vertical="center" wrapText="1"/>
    </xf>
    <xf numFmtId="0" fontId="105" fillId="0" borderId="146" xfId="0" applyFont="1" applyBorder="1" applyAlignment="1">
      <alignment horizontal="center" vertical="center"/>
    </xf>
    <xf numFmtId="0" fontId="106" fillId="0" borderId="149" xfId="13" applyFont="1" applyBorder="1" applyAlignment="1" applyProtection="1">
      <alignment horizontal="left" vertical="top" wrapText="1"/>
      <protection locked="0"/>
    </xf>
    <xf numFmtId="0" fontId="106" fillId="0" borderId="148" xfId="13" applyFont="1" applyBorder="1" applyAlignment="1" applyProtection="1">
      <alignment horizontal="left" vertical="top" wrapText="1"/>
      <protection locked="0"/>
    </xf>
    <xf numFmtId="0" fontId="106" fillId="3" borderId="149" xfId="13" applyFont="1" applyFill="1" applyBorder="1" applyAlignment="1" applyProtection="1">
      <alignment horizontal="left" vertical="top" wrapText="1"/>
      <protection locked="0"/>
    </xf>
    <xf numFmtId="0" fontId="106" fillId="3" borderId="148" xfId="13" applyFont="1" applyFill="1" applyBorder="1" applyAlignment="1" applyProtection="1">
      <alignment horizontal="left" vertical="top" wrapText="1"/>
      <protection locked="0"/>
    </xf>
    <xf numFmtId="0" fontId="105" fillId="0" borderId="85" xfId="0" applyFont="1" applyBorder="1" applyAlignment="1">
      <alignment horizontal="center" vertical="center"/>
    </xf>
    <xf numFmtId="49" fontId="106" fillId="0" borderId="0" xfId="0" applyNumberFormat="1" applyFont="1" applyAlignment="1">
      <alignment horizontal="center" vertical="center"/>
    </xf>
    <xf numFmtId="0" fontId="105" fillId="76" borderId="149" xfId="0" applyFont="1" applyFill="1" applyBorder="1" applyAlignment="1">
      <alignment horizontal="center" vertical="center" wrapText="1"/>
    </xf>
    <xf numFmtId="0" fontId="105" fillId="76" borderId="148" xfId="0" applyFont="1" applyFill="1" applyBorder="1" applyAlignment="1">
      <alignment horizontal="center" vertical="center" wrapText="1"/>
    </xf>
    <xf numFmtId="0" fontId="106" fillId="0" borderId="149" xfId="0" applyFont="1" applyBorder="1" applyAlignment="1">
      <alignment horizontal="left" vertical="center" wrapText="1"/>
    </xf>
    <xf numFmtId="0" fontId="106" fillId="0" borderId="148" xfId="0" applyFont="1" applyBorder="1" applyAlignment="1">
      <alignment horizontal="left" vertical="center" wrapText="1"/>
    </xf>
    <xf numFmtId="0" fontId="106" fillId="0" borderId="146" xfId="0" applyFont="1" applyBorder="1" applyAlignment="1">
      <alignment horizontal="left" vertical="top" wrapText="1"/>
    </xf>
    <xf numFmtId="0" fontId="106" fillId="0" borderId="149" xfId="0" applyFont="1" applyBorder="1" applyAlignment="1">
      <alignment horizontal="left" vertical="top" wrapText="1"/>
    </xf>
    <xf numFmtId="0" fontId="106" fillId="0" borderId="146" xfId="0" applyFont="1" applyBorder="1" applyAlignment="1">
      <alignment horizontal="left" vertical="center" wrapText="1"/>
    </xf>
    <xf numFmtId="0" fontId="106" fillId="0" borderId="146" xfId="0" applyFont="1" applyBorder="1" applyAlignment="1">
      <alignment horizontal="center"/>
    </xf>
    <xf numFmtId="0" fontId="106" fillId="0" borderId="148" xfId="0" applyFont="1" applyBorder="1" applyAlignment="1">
      <alignment horizontal="left" vertical="top" wrapText="1"/>
    </xf>
    <xf numFmtId="9" fontId="143" fillId="0" borderId="146" xfId="20961" applyNumberFormat="1" applyFont="1" applyBorder="1"/>
    <xf numFmtId="0" fontId="117" fillId="0" borderId="0" xfId="0" applyFont="1" applyBorder="1"/>
    <xf numFmtId="0" fontId="117" fillId="0" borderId="0" xfId="0" applyFont="1" applyBorder="1" applyAlignment="1">
      <alignment horizontal="right"/>
    </xf>
    <xf numFmtId="164" fontId="117" fillId="0" borderId="0" xfId="7" applyNumberFormat="1" applyFont="1" applyBorder="1"/>
    <xf numFmtId="164" fontId="117" fillId="0" borderId="0" xfId="0" applyNumberFormat="1" applyFont="1" applyBorder="1"/>
    <xf numFmtId="164" fontId="120" fillId="0" borderId="0" xfId="0" applyNumberFormat="1" applyFont="1" applyBorder="1"/>
    <xf numFmtId="164" fontId="120" fillId="0" borderId="0" xfId="7" applyNumberFormat="1" applyFont="1" applyBorder="1"/>
    <xf numFmtId="164" fontId="120" fillId="0" borderId="146" xfId="7" applyNumberFormat="1" applyFont="1" applyFill="1" applyBorder="1"/>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85" zoomScaleNormal="85" workbookViewId="0">
      <pane xSplit="1" ySplit="7" topLeftCell="B8" activePane="bottomRight" state="frozen"/>
      <selection pane="topRight" activeCell="B1" sqref="B1"/>
      <selection pane="bottomLeft" activeCell="A8" sqref="A8"/>
      <selection pane="bottomRight" activeCell="A6" sqref="A6:C6"/>
    </sheetView>
  </sheetViews>
  <sheetFormatPr defaultRowHeight="14.4"/>
  <cols>
    <col min="1" max="1" width="10.21875" style="1" customWidth="1"/>
    <col min="2" max="2" width="153" bestFit="1" customWidth="1"/>
    <col min="3" max="3" width="39.44140625" customWidth="1"/>
    <col min="7" max="7" width="25" customWidth="1"/>
  </cols>
  <sheetData>
    <row r="1" spans="1:3">
      <c r="A1" s="6"/>
      <c r="B1" s="121" t="s">
        <v>159</v>
      </c>
      <c r="C1" s="47"/>
    </row>
    <row r="2" spans="1:3" s="118" customFormat="1">
      <c r="A2" s="162">
        <v>1</v>
      </c>
      <c r="B2" s="119" t="s">
        <v>160</v>
      </c>
      <c r="C2" s="117" t="s">
        <v>995</v>
      </c>
    </row>
    <row r="3" spans="1:3" s="118" customFormat="1">
      <c r="A3" s="162">
        <v>2</v>
      </c>
      <c r="B3" s="120" t="s">
        <v>161</v>
      </c>
      <c r="C3" s="117" t="s">
        <v>996</v>
      </c>
    </row>
    <row r="4" spans="1:3" s="118" customFormat="1">
      <c r="A4" s="162">
        <v>3</v>
      </c>
      <c r="B4" s="120" t="s">
        <v>162</v>
      </c>
      <c r="C4" s="117" t="s">
        <v>963</v>
      </c>
    </row>
    <row r="5" spans="1:3" s="118" customFormat="1">
      <c r="A5" s="163">
        <v>4</v>
      </c>
      <c r="B5" s="123" t="s">
        <v>163</v>
      </c>
      <c r="C5" s="767" t="s">
        <v>997</v>
      </c>
    </row>
    <row r="6" spans="1:3" s="122" customFormat="1" ht="65.25" customHeight="1">
      <c r="A6" s="804" t="s">
        <v>321</v>
      </c>
      <c r="B6" s="805"/>
      <c r="C6" s="805"/>
    </row>
    <row r="7" spans="1:3">
      <c r="A7" s="272" t="s">
        <v>251</v>
      </c>
      <c r="B7" s="273" t="s">
        <v>164</v>
      </c>
    </row>
    <row r="8" spans="1:3">
      <c r="A8" s="274">
        <v>1</v>
      </c>
      <c r="B8" s="270" t="s">
        <v>139</v>
      </c>
    </row>
    <row r="9" spans="1:3">
      <c r="A9" s="274">
        <v>2</v>
      </c>
      <c r="B9" s="270" t="s">
        <v>165</v>
      </c>
    </row>
    <row r="10" spans="1:3">
      <c r="A10" s="274">
        <v>3</v>
      </c>
      <c r="B10" s="270" t="s">
        <v>166</v>
      </c>
    </row>
    <row r="11" spans="1:3">
      <c r="A11" s="274">
        <v>4</v>
      </c>
      <c r="B11" s="270" t="s">
        <v>167</v>
      </c>
    </row>
    <row r="12" spans="1:3">
      <c r="A12" s="274">
        <v>5</v>
      </c>
      <c r="B12" s="270" t="s">
        <v>107</v>
      </c>
    </row>
    <row r="13" spans="1:3">
      <c r="A13" s="274">
        <v>6</v>
      </c>
      <c r="B13" s="275" t="s">
        <v>91</v>
      </c>
    </row>
    <row r="14" spans="1:3">
      <c r="A14" s="274">
        <v>7</v>
      </c>
      <c r="B14" s="270" t="s">
        <v>168</v>
      </c>
    </row>
    <row r="15" spans="1:3">
      <c r="A15" s="274">
        <v>8</v>
      </c>
      <c r="B15" s="270" t="s">
        <v>171</v>
      </c>
    </row>
    <row r="16" spans="1:3">
      <c r="A16" s="274">
        <v>9</v>
      </c>
      <c r="B16" s="270" t="s">
        <v>85</v>
      </c>
    </row>
    <row r="17" spans="1:2">
      <c r="A17" s="276" t="s">
        <v>378</v>
      </c>
      <c r="B17" s="270" t="s">
        <v>358</v>
      </c>
    </row>
    <row r="18" spans="1:2">
      <c r="A18" s="274">
        <v>10</v>
      </c>
      <c r="B18" s="270" t="s">
        <v>172</v>
      </c>
    </row>
    <row r="19" spans="1:2">
      <c r="A19" s="274">
        <v>11</v>
      </c>
      <c r="B19" s="275" t="s">
        <v>155</v>
      </c>
    </row>
    <row r="20" spans="1:2">
      <c r="A20" s="274">
        <v>12</v>
      </c>
      <c r="B20" s="275" t="s">
        <v>152</v>
      </c>
    </row>
    <row r="21" spans="1:2">
      <c r="A21" s="274">
        <v>13</v>
      </c>
      <c r="B21" s="277" t="s">
        <v>297</v>
      </c>
    </row>
    <row r="22" spans="1:2">
      <c r="A22" s="274">
        <v>14</v>
      </c>
      <c r="B22" s="270" t="s">
        <v>351</v>
      </c>
    </row>
    <row r="23" spans="1:2">
      <c r="A23" s="274">
        <v>15</v>
      </c>
      <c r="B23" s="270" t="s">
        <v>74</v>
      </c>
    </row>
    <row r="24" spans="1:2">
      <c r="A24" s="274">
        <v>15.1</v>
      </c>
      <c r="B24" s="270" t="s">
        <v>387</v>
      </c>
    </row>
    <row r="25" spans="1:2">
      <c r="A25" s="274">
        <v>16</v>
      </c>
      <c r="B25" s="270" t="s">
        <v>453</v>
      </c>
    </row>
    <row r="26" spans="1:2">
      <c r="A26" s="274">
        <v>17</v>
      </c>
      <c r="B26" s="270" t="s">
        <v>678</v>
      </c>
    </row>
    <row r="27" spans="1:2">
      <c r="A27" s="274">
        <v>18</v>
      </c>
      <c r="B27" s="270" t="s">
        <v>949</v>
      </c>
    </row>
    <row r="28" spans="1:2">
      <c r="A28" s="274">
        <v>19</v>
      </c>
      <c r="B28" s="270" t="s">
        <v>950</v>
      </c>
    </row>
    <row r="29" spans="1:2">
      <c r="A29" s="274">
        <v>20</v>
      </c>
      <c r="B29" s="270" t="s">
        <v>951</v>
      </c>
    </row>
    <row r="30" spans="1:2">
      <c r="A30" s="274">
        <v>21</v>
      </c>
      <c r="B30" s="270" t="s">
        <v>546</v>
      </c>
    </row>
    <row r="31" spans="1:2">
      <c r="A31" s="274">
        <v>22</v>
      </c>
      <c r="B31" s="270" t="s">
        <v>952</v>
      </c>
    </row>
    <row r="32" spans="1:2" ht="26.4">
      <c r="A32" s="274">
        <v>23</v>
      </c>
      <c r="B32" s="641" t="s">
        <v>948</v>
      </c>
    </row>
    <row r="33" spans="1:2">
      <c r="A33" s="274">
        <v>24</v>
      </c>
      <c r="B33" s="270" t="s">
        <v>953</v>
      </c>
    </row>
    <row r="34" spans="1:2">
      <c r="A34" s="274">
        <v>25</v>
      </c>
      <c r="B34" s="270" t="s">
        <v>954</v>
      </c>
    </row>
    <row r="35" spans="1:2">
      <c r="A35" s="274">
        <v>26</v>
      </c>
      <c r="B35" s="270" t="s">
        <v>726</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900B09FE-0864-4D40-82FF-77F6C11CF8D4}"/>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zoomScaleNormal="100" workbookViewId="0">
      <pane xSplit="1" ySplit="5" topLeftCell="B6" activePane="bottomRight" state="frozen"/>
      <selection pane="topRight" activeCell="B1" sqref="B1"/>
      <selection pane="bottomLeft" activeCell="A5" sqref="A5"/>
      <selection pane="bottomRight" activeCell="C45" sqref="C45"/>
    </sheetView>
  </sheetViews>
  <sheetFormatPr defaultRowHeight="14.4"/>
  <cols>
    <col min="1" max="1" width="9.5546875" style="1" bestFit="1" customWidth="1"/>
    <col min="2" max="2" width="132.44140625" style="1" customWidth="1"/>
    <col min="3" max="3" width="18.44140625" style="1" customWidth="1"/>
  </cols>
  <sheetData>
    <row r="1" spans="1:6">
      <c r="A1" s="13" t="s">
        <v>108</v>
      </c>
      <c r="B1" s="12" t="str">
        <f>Info!C2</f>
        <v>კრედო</v>
      </c>
      <c r="D1" s="1"/>
      <c r="E1" s="1"/>
      <c r="F1" s="1"/>
    </row>
    <row r="2" spans="1:6" s="13" customFormat="1" ht="15.75" customHeight="1">
      <c r="A2" s="13" t="s">
        <v>109</v>
      </c>
      <c r="B2" s="346">
        <f>'1. key ratios'!B2</f>
        <v>45199</v>
      </c>
    </row>
    <row r="3" spans="1:6" s="13" customFormat="1" ht="15.75" customHeight="1"/>
    <row r="4" spans="1:6" ht="15" thickBot="1">
      <c r="A4" s="1" t="s">
        <v>257</v>
      </c>
      <c r="B4" s="23" t="s">
        <v>85</v>
      </c>
    </row>
    <row r="5" spans="1:6">
      <c r="A5" s="78" t="s">
        <v>25</v>
      </c>
      <c r="B5" s="79"/>
      <c r="C5" s="80" t="s">
        <v>26</v>
      </c>
    </row>
    <row r="6" spans="1:6">
      <c r="A6" s="81">
        <v>1</v>
      </c>
      <c r="B6" s="43" t="s">
        <v>27</v>
      </c>
      <c r="C6" s="172">
        <f>SUM(C7:C11)</f>
        <v>292213044.12999576</v>
      </c>
    </row>
    <row r="7" spans="1:6">
      <c r="A7" s="81">
        <v>2</v>
      </c>
      <c r="B7" s="40" t="s">
        <v>28</v>
      </c>
      <c r="C7" s="173">
        <v>5207180</v>
      </c>
    </row>
    <row r="8" spans="1:6">
      <c r="A8" s="81">
        <v>3</v>
      </c>
      <c r="B8" s="35" t="s">
        <v>29</v>
      </c>
      <c r="C8" s="173">
        <v>36929894.049999997</v>
      </c>
    </row>
    <row r="9" spans="1:6">
      <c r="A9" s="81">
        <v>4</v>
      </c>
      <c r="B9" s="35" t="s">
        <v>30</v>
      </c>
      <c r="C9" s="173"/>
    </row>
    <row r="10" spans="1:6">
      <c r="A10" s="81">
        <v>5</v>
      </c>
      <c r="B10" s="35" t="s">
        <v>31</v>
      </c>
      <c r="C10" s="173"/>
    </row>
    <row r="11" spans="1:6">
      <c r="A11" s="81">
        <v>6</v>
      </c>
      <c r="B11" s="41" t="s">
        <v>32</v>
      </c>
      <c r="C11" s="173">
        <v>250075970.07999575</v>
      </c>
    </row>
    <row r="12" spans="1:6" s="2" customFormat="1">
      <c r="A12" s="81">
        <v>7</v>
      </c>
      <c r="B12" s="43" t="s">
        <v>33</v>
      </c>
      <c r="C12" s="174">
        <f>SUM(C13:C28)</f>
        <v>18631862.960000001</v>
      </c>
    </row>
    <row r="13" spans="1:6" s="2" customFormat="1">
      <c r="A13" s="81">
        <v>8</v>
      </c>
      <c r="B13" s="42" t="s">
        <v>34</v>
      </c>
      <c r="C13" s="175"/>
    </row>
    <row r="14" spans="1:6" s="2" customFormat="1" ht="27.6">
      <c r="A14" s="81">
        <v>9</v>
      </c>
      <c r="B14" s="36" t="s">
        <v>35</v>
      </c>
      <c r="C14" s="175"/>
    </row>
    <row r="15" spans="1:6" s="2" customFormat="1">
      <c r="A15" s="81">
        <v>10</v>
      </c>
      <c r="B15" s="37" t="s">
        <v>36</v>
      </c>
      <c r="C15" s="175">
        <v>18631862.960000001</v>
      </c>
    </row>
    <row r="16" spans="1:6" s="2" customFormat="1">
      <c r="A16" s="81">
        <v>11</v>
      </c>
      <c r="B16" s="38" t="s">
        <v>37</v>
      </c>
      <c r="C16" s="175"/>
    </row>
    <row r="17" spans="1:3" s="2" customFormat="1">
      <c r="A17" s="81">
        <v>12</v>
      </c>
      <c r="B17" s="37" t="s">
        <v>38</v>
      </c>
      <c r="C17" s="175"/>
    </row>
    <row r="18" spans="1:3" s="2" customFormat="1">
      <c r="A18" s="81">
        <v>13</v>
      </c>
      <c r="B18" s="37" t="s">
        <v>39</v>
      </c>
      <c r="C18" s="175"/>
    </row>
    <row r="19" spans="1:3" s="2" customFormat="1">
      <c r="A19" s="81">
        <v>14</v>
      </c>
      <c r="B19" s="37" t="s">
        <v>40</v>
      </c>
      <c r="C19" s="175"/>
    </row>
    <row r="20" spans="1:3" s="2" customFormat="1" ht="27.6">
      <c r="A20" s="81">
        <v>15</v>
      </c>
      <c r="B20" s="37" t="s">
        <v>41</v>
      </c>
      <c r="C20" s="175"/>
    </row>
    <row r="21" spans="1:3" s="2" customFormat="1" ht="27.6">
      <c r="A21" s="81">
        <v>16</v>
      </c>
      <c r="B21" s="36" t="s">
        <v>42</v>
      </c>
      <c r="C21" s="175"/>
    </row>
    <row r="22" spans="1:3" s="2" customFormat="1">
      <c r="A22" s="81">
        <v>17</v>
      </c>
      <c r="B22" s="82" t="s">
        <v>43</v>
      </c>
      <c r="C22" s="175"/>
    </row>
    <row r="23" spans="1:3" s="2" customFormat="1">
      <c r="A23" s="81">
        <v>18</v>
      </c>
      <c r="B23" s="642" t="s">
        <v>729</v>
      </c>
      <c r="C23" s="410"/>
    </row>
    <row r="24" spans="1:3" s="2" customFormat="1" ht="27.6">
      <c r="A24" s="81">
        <v>19</v>
      </c>
      <c r="B24" s="36" t="s">
        <v>44</v>
      </c>
      <c r="C24" s="175"/>
    </row>
    <row r="25" spans="1:3" s="2" customFormat="1" ht="27.6">
      <c r="A25" s="81">
        <v>20</v>
      </c>
      <c r="B25" s="36" t="s">
        <v>45</v>
      </c>
      <c r="C25" s="175"/>
    </row>
    <row r="26" spans="1:3" s="2" customFormat="1" ht="27.6">
      <c r="A26" s="81">
        <v>21</v>
      </c>
      <c r="B26" s="38" t="s">
        <v>46</v>
      </c>
      <c r="C26" s="175"/>
    </row>
    <row r="27" spans="1:3" s="2" customFormat="1">
      <c r="A27" s="81">
        <v>22</v>
      </c>
      <c r="B27" s="38" t="s">
        <v>47</v>
      </c>
      <c r="C27" s="175"/>
    </row>
    <row r="28" spans="1:3" s="2" customFormat="1" ht="27.6">
      <c r="A28" s="81">
        <v>23</v>
      </c>
      <c r="B28" s="38" t="s">
        <v>48</v>
      </c>
      <c r="C28" s="175"/>
    </row>
    <row r="29" spans="1:3" s="2" customFormat="1">
      <c r="A29" s="81">
        <v>24</v>
      </c>
      <c r="B29" s="44" t="s">
        <v>22</v>
      </c>
      <c r="C29" s="174">
        <f>C6-C12</f>
        <v>273581181.16999578</v>
      </c>
    </row>
    <row r="30" spans="1:3" s="2" customFormat="1">
      <c r="A30" s="83"/>
      <c r="B30" s="39"/>
      <c r="C30" s="175"/>
    </row>
    <row r="31" spans="1:3" s="2" customFormat="1">
      <c r="A31" s="83">
        <v>25</v>
      </c>
      <c r="B31" s="44" t="s">
        <v>49</v>
      </c>
      <c r="C31" s="174">
        <f>C32+C35</f>
        <v>0</v>
      </c>
    </row>
    <row r="32" spans="1:3" s="2" customFormat="1">
      <c r="A32" s="83">
        <v>26</v>
      </c>
      <c r="B32" s="35" t="s">
        <v>50</v>
      </c>
      <c r="C32" s="176">
        <f>C33+C34</f>
        <v>0</v>
      </c>
    </row>
    <row r="33" spans="1:3" s="2" customFormat="1">
      <c r="A33" s="83">
        <v>27</v>
      </c>
      <c r="B33" s="115" t="s">
        <v>51</v>
      </c>
      <c r="C33" s="175"/>
    </row>
    <row r="34" spans="1:3" s="2" customFormat="1">
      <c r="A34" s="83">
        <v>28</v>
      </c>
      <c r="B34" s="115" t="s">
        <v>52</v>
      </c>
      <c r="C34" s="175"/>
    </row>
    <row r="35" spans="1:3" s="2" customFormat="1">
      <c r="A35" s="83">
        <v>29</v>
      </c>
      <c r="B35" s="35" t="s">
        <v>53</v>
      </c>
      <c r="C35" s="175"/>
    </row>
    <row r="36" spans="1:3" s="2" customFormat="1">
      <c r="A36" s="83">
        <v>30</v>
      </c>
      <c r="B36" s="44" t="s">
        <v>54</v>
      </c>
      <c r="C36" s="174">
        <f>SUM(C37:C41)</f>
        <v>0</v>
      </c>
    </row>
    <row r="37" spans="1:3" s="2" customFormat="1">
      <c r="A37" s="83">
        <v>31</v>
      </c>
      <c r="B37" s="36" t="s">
        <v>55</v>
      </c>
      <c r="C37" s="175"/>
    </row>
    <row r="38" spans="1:3" s="2" customFormat="1">
      <c r="A38" s="83">
        <v>32</v>
      </c>
      <c r="B38" s="37" t="s">
        <v>56</v>
      </c>
      <c r="C38" s="175"/>
    </row>
    <row r="39" spans="1:3" s="2" customFormat="1" ht="27.6">
      <c r="A39" s="83">
        <v>33</v>
      </c>
      <c r="B39" s="36" t="s">
        <v>57</v>
      </c>
      <c r="C39" s="175"/>
    </row>
    <row r="40" spans="1:3" s="2" customFormat="1" ht="27.6">
      <c r="A40" s="83">
        <v>34</v>
      </c>
      <c r="B40" s="36" t="s">
        <v>45</v>
      </c>
      <c r="C40" s="175"/>
    </row>
    <row r="41" spans="1:3" s="2" customFormat="1" ht="27.6">
      <c r="A41" s="83">
        <v>35</v>
      </c>
      <c r="B41" s="38" t="s">
        <v>58</v>
      </c>
      <c r="C41" s="175"/>
    </row>
    <row r="42" spans="1:3" s="2" customFormat="1">
      <c r="A42" s="83">
        <v>36</v>
      </c>
      <c r="B42" s="44" t="s">
        <v>23</v>
      </c>
      <c r="C42" s="174">
        <f>C31-C36</f>
        <v>0</v>
      </c>
    </row>
    <row r="43" spans="1:3" s="2" customFormat="1">
      <c r="A43" s="83"/>
      <c r="B43" s="39"/>
      <c r="C43" s="175"/>
    </row>
    <row r="44" spans="1:3" s="2" customFormat="1">
      <c r="A44" s="83">
        <v>37</v>
      </c>
      <c r="B44" s="45" t="s">
        <v>59</v>
      </c>
      <c r="C44" s="174">
        <f>SUM(C45:C47)</f>
        <v>75134116</v>
      </c>
    </row>
    <row r="45" spans="1:3" s="2" customFormat="1">
      <c r="A45" s="83">
        <v>38</v>
      </c>
      <c r="B45" s="35" t="s">
        <v>60</v>
      </c>
      <c r="C45" s="175">
        <v>75134116</v>
      </c>
    </row>
    <row r="46" spans="1:3" s="2" customFormat="1">
      <c r="A46" s="83">
        <v>39</v>
      </c>
      <c r="B46" s="35" t="s">
        <v>61</v>
      </c>
      <c r="C46" s="175"/>
    </row>
    <row r="47" spans="1:3" s="2" customFormat="1">
      <c r="A47" s="83">
        <v>40</v>
      </c>
      <c r="B47" s="643" t="s">
        <v>728</v>
      </c>
      <c r="C47" s="175"/>
    </row>
    <row r="48" spans="1:3" s="2" customFormat="1">
      <c r="A48" s="83">
        <v>41</v>
      </c>
      <c r="B48" s="45" t="s">
        <v>62</v>
      </c>
      <c r="C48" s="174">
        <f>SUM(C49:C52)</f>
        <v>0</v>
      </c>
    </row>
    <row r="49" spans="1:3" s="2" customFormat="1">
      <c r="A49" s="83">
        <v>42</v>
      </c>
      <c r="B49" s="36" t="s">
        <v>63</v>
      </c>
      <c r="C49" s="175"/>
    </row>
    <row r="50" spans="1:3" s="2" customFormat="1">
      <c r="A50" s="83">
        <v>43</v>
      </c>
      <c r="B50" s="37" t="s">
        <v>64</v>
      </c>
      <c r="C50" s="175"/>
    </row>
    <row r="51" spans="1:3" s="2" customFormat="1" ht="27.6">
      <c r="A51" s="83">
        <v>44</v>
      </c>
      <c r="B51" s="36" t="s">
        <v>65</v>
      </c>
      <c r="C51" s="175"/>
    </row>
    <row r="52" spans="1:3" s="2" customFormat="1" ht="27.6">
      <c r="A52" s="83">
        <v>45</v>
      </c>
      <c r="B52" s="36" t="s">
        <v>45</v>
      </c>
      <c r="C52" s="175"/>
    </row>
    <row r="53" spans="1:3" s="2" customFormat="1" ht="15" thickBot="1">
      <c r="A53" s="83">
        <v>46</v>
      </c>
      <c r="B53" s="84" t="s">
        <v>24</v>
      </c>
      <c r="C53" s="177">
        <f>C44-C48</f>
        <v>75134116</v>
      </c>
    </row>
    <row r="56" spans="1:3">
      <c r="B56" s="1" t="s">
        <v>141</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15" sqref="C15:C17"/>
    </sheetView>
  </sheetViews>
  <sheetFormatPr defaultColWidth="9.21875" defaultRowHeight="13.8"/>
  <cols>
    <col min="1" max="1" width="10.77734375" style="1" bestFit="1" customWidth="1"/>
    <col min="2" max="2" width="59" style="1" customWidth="1"/>
    <col min="3" max="3" width="16.77734375" style="1" bestFit="1" customWidth="1"/>
    <col min="4" max="4" width="22.21875" style="1" customWidth="1"/>
    <col min="5" max="16384" width="9.21875" style="1"/>
  </cols>
  <sheetData>
    <row r="1" spans="1:4">
      <c r="A1" s="13" t="s">
        <v>108</v>
      </c>
      <c r="B1" s="12" t="str">
        <f>Info!C2</f>
        <v>კრედო</v>
      </c>
    </row>
    <row r="2" spans="1:4" s="13" customFormat="1" ht="15.75" customHeight="1">
      <c r="A2" s="13" t="s">
        <v>109</v>
      </c>
      <c r="B2" s="346">
        <f>'1. key ratios'!B2</f>
        <v>45199</v>
      </c>
    </row>
    <row r="3" spans="1:4" s="13" customFormat="1" ht="15.75" customHeight="1"/>
    <row r="4" spans="1:4" ht="14.4" thickBot="1">
      <c r="A4" s="1" t="s">
        <v>357</v>
      </c>
      <c r="B4" s="259" t="s">
        <v>358</v>
      </c>
    </row>
    <row r="5" spans="1:4" s="31" customFormat="1">
      <c r="A5" s="840" t="s">
        <v>359</v>
      </c>
      <c r="B5" s="841"/>
      <c r="C5" s="249" t="s">
        <v>360</v>
      </c>
      <c r="D5" s="250" t="s">
        <v>361</v>
      </c>
    </row>
    <row r="6" spans="1:4" s="260" customFormat="1">
      <c r="A6" s="251">
        <v>1</v>
      </c>
      <c r="B6" s="252" t="s">
        <v>362</v>
      </c>
      <c r="C6" s="252"/>
      <c r="D6" s="253"/>
    </row>
    <row r="7" spans="1:4" s="260" customFormat="1">
      <c r="A7" s="254" t="s">
        <v>363</v>
      </c>
      <c r="B7" s="255" t="s">
        <v>364</v>
      </c>
      <c r="C7" s="303">
        <v>4.4999999999999998E-2</v>
      </c>
      <c r="D7" s="761">
        <f>C7*'5. RWA'!$C$13</f>
        <v>89654272.307976544</v>
      </c>
    </row>
    <row r="8" spans="1:4" s="260" customFormat="1">
      <c r="A8" s="254" t="s">
        <v>365</v>
      </c>
      <c r="B8" s="255" t="s">
        <v>366</v>
      </c>
      <c r="C8" s="304">
        <v>0.06</v>
      </c>
      <c r="D8" s="761">
        <f>C8*'5. RWA'!$C$13</f>
        <v>119539029.74396871</v>
      </c>
    </row>
    <row r="9" spans="1:4" s="260" customFormat="1">
      <c r="A9" s="254" t="s">
        <v>367</v>
      </c>
      <c r="B9" s="255" t="s">
        <v>368</v>
      </c>
      <c r="C9" s="304">
        <v>0.08</v>
      </c>
      <c r="D9" s="761">
        <f>C9*'5. RWA'!$C$13</f>
        <v>159385372.99195829</v>
      </c>
    </row>
    <row r="10" spans="1:4" s="260" customFormat="1">
      <c r="A10" s="251" t="s">
        <v>369</v>
      </c>
      <c r="B10" s="252" t="s">
        <v>370</v>
      </c>
      <c r="C10" s="305"/>
      <c r="D10" s="762"/>
    </row>
    <row r="11" spans="1:4" s="261" customFormat="1">
      <c r="A11" s="256" t="s">
        <v>371</v>
      </c>
      <c r="B11" s="257" t="s">
        <v>433</v>
      </c>
      <c r="C11" s="306">
        <v>2.5000000000000001E-2</v>
      </c>
      <c r="D11" s="763">
        <f>C11*'5. RWA'!$C$13</f>
        <v>49807929.059986971</v>
      </c>
    </row>
    <row r="12" spans="1:4" s="261" customFormat="1">
      <c r="A12" s="256" t="s">
        <v>372</v>
      </c>
      <c r="B12" s="257" t="s">
        <v>373</v>
      </c>
      <c r="C12" s="306">
        <v>0</v>
      </c>
      <c r="D12" s="763">
        <f>C12*'5. RWA'!$C$13</f>
        <v>0</v>
      </c>
    </row>
    <row r="13" spans="1:4" s="261" customFormat="1">
      <c r="A13" s="256" t="s">
        <v>374</v>
      </c>
      <c r="B13" s="257" t="s">
        <v>375</v>
      </c>
      <c r="C13" s="306">
        <v>0</v>
      </c>
      <c r="D13" s="763">
        <f>C13*'5. RWA'!$C$13</f>
        <v>0</v>
      </c>
    </row>
    <row r="14" spans="1:4" s="260" customFormat="1">
      <c r="A14" s="251" t="s">
        <v>376</v>
      </c>
      <c r="B14" s="252" t="s">
        <v>431</v>
      </c>
      <c r="C14" s="307"/>
      <c r="D14" s="762"/>
    </row>
    <row r="15" spans="1:4" s="260" customFormat="1">
      <c r="A15" s="271" t="s">
        <v>379</v>
      </c>
      <c r="B15" s="257" t="s">
        <v>432</v>
      </c>
      <c r="C15" s="306">
        <v>3.6090615187931802E-2</v>
      </c>
      <c r="D15" s="763">
        <f>C15*'5. RWA'!$C$13</f>
        <v>71903952.040471822</v>
      </c>
    </row>
    <row r="16" spans="1:4" s="260" customFormat="1">
      <c r="A16" s="271" t="s">
        <v>380</v>
      </c>
      <c r="B16" s="257" t="s">
        <v>382</v>
      </c>
      <c r="C16" s="306">
        <v>4.2018025248785194E-2</v>
      </c>
      <c r="D16" s="763">
        <f>C16*'5. RWA'!$C$13</f>
        <v>83713232.83328937</v>
      </c>
    </row>
    <row r="17" spans="1:4" s="260" customFormat="1">
      <c r="A17" s="271" t="s">
        <v>381</v>
      </c>
      <c r="B17" s="257" t="s">
        <v>429</v>
      </c>
      <c r="C17" s="306">
        <v>4.9817249013065973E-2</v>
      </c>
      <c r="D17" s="763">
        <f>C17*'5. RWA'!$C$13</f>
        <v>99251760.192259833</v>
      </c>
    </row>
    <row r="18" spans="1:4" s="31" customFormat="1">
      <c r="A18" s="842" t="s">
        <v>430</v>
      </c>
      <c r="B18" s="843"/>
      <c r="C18" s="308" t="s">
        <v>360</v>
      </c>
      <c r="D18" s="764" t="s">
        <v>361</v>
      </c>
    </row>
    <row r="19" spans="1:4" s="260" customFormat="1">
      <c r="A19" s="258">
        <v>4</v>
      </c>
      <c r="B19" s="257" t="s">
        <v>22</v>
      </c>
      <c r="C19" s="306">
        <f>C7+C11+C12+C13+C15</f>
        <v>0.10609061518793181</v>
      </c>
      <c r="D19" s="761">
        <f>C19*'5. RWA'!$C$13</f>
        <v>211366153.40843534</v>
      </c>
    </row>
    <row r="20" spans="1:4" s="260" customFormat="1">
      <c r="A20" s="258">
        <v>5</v>
      </c>
      <c r="B20" s="257" t="s">
        <v>86</v>
      </c>
      <c r="C20" s="306">
        <f>C8+C11+C12+C13+C16</f>
        <v>0.12701802524878519</v>
      </c>
      <c r="D20" s="761">
        <f>C20*'5. RWA'!$C$13</f>
        <v>253060191.63724506</v>
      </c>
    </row>
    <row r="21" spans="1:4" s="260" customFormat="1" ht="14.4" thickBot="1">
      <c r="A21" s="262" t="s">
        <v>377</v>
      </c>
      <c r="B21" s="263" t="s">
        <v>85</v>
      </c>
      <c r="C21" s="309">
        <f>C9+C11+C12+C13+C17</f>
        <v>0.15481724901306598</v>
      </c>
      <c r="D21" s="765">
        <f>C21*'5. RWA'!$C$13</f>
        <v>308445062.24420512</v>
      </c>
    </row>
    <row r="23" spans="1:4" ht="69">
      <c r="B23" s="17"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80" zoomScaleNormal="80" workbookViewId="0">
      <pane xSplit="1" ySplit="5" topLeftCell="B46" activePane="bottomRight" state="frozen"/>
      <selection pane="topRight" activeCell="B1" sqref="B1"/>
      <selection pane="bottomLeft" activeCell="A5" sqref="A5"/>
      <selection pane="bottomRight" activeCell="C66" sqref="C66"/>
    </sheetView>
  </sheetViews>
  <sheetFormatPr defaultRowHeight="14.4"/>
  <cols>
    <col min="1" max="1" width="10.77734375" style="32" customWidth="1"/>
    <col min="2" max="2" width="91.77734375" style="32" customWidth="1"/>
    <col min="3" max="3" width="53.21875" style="32" customWidth="1"/>
    <col min="4" max="4" width="32.21875" style="32" customWidth="1"/>
    <col min="5" max="5" width="9.44140625" customWidth="1"/>
  </cols>
  <sheetData>
    <row r="1" spans="1:6">
      <c r="A1" s="13" t="s">
        <v>108</v>
      </c>
      <c r="B1" s="14" t="str">
        <f>Info!C2</f>
        <v>კრედო</v>
      </c>
      <c r="E1" s="1"/>
      <c r="F1" s="1"/>
    </row>
    <row r="2" spans="1:6" s="13" customFormat="1" ht="15.75" customHeight="1">
      <c r="A2" s="13" t="s">
        <v>109</v>
      </c>
      <c r="B2" s="346">
        <f>'1. key ratios'!B2</f>
        <v>45199</v>
      </c>
    </row>
    <row r="3" spans="1:6" s="13" customFormat="1" ht="15.75" customHeight="1">
      <c r="A3" s="20"/>
    </row>
    <row r="4" spans="1:6" s="13" customFormat="1" ht="15.75" customHeight="1" thickBot="1">
      <c r="A4" s="13" t="s">
        <v>258</v>
      </c>
      <c r="B4" s="138" t="s">
        <v>172</v>
      </c>
      <c r="D4" s="140" t="s">
        <v>87</v>
      </c>
    </row>
    <row r="5" spans="1:6" ht="27.6">
      <c r="A5" s="90" t="s">
        <v>25</v>
      </c>
      <c r="B5" s="91" t="s">
        <v>144</v>
      </c>
      <c r="C5" s="92" t="s">
        <v>861</v>
      </c>
      <c r="D5" s="139" t="s">
        <v>173</v>
      </c>
    </row>
    <row r="6" spans="1:6">
      <c r="A6" s="452">
        <v>1</v>
      </c>
      <c r="B6" s="413" t="s">
        <v>846</v>
      </c>
      <c r="C6" s="488">
        <f>SUM(C7:C9)</f>
        <v>316205564.25</v>
      </c>
      <c r="D6" s="85"/>
      <c r="E6" s="4"/>
    </row>
    <row r="7" spans="1:6">
      <c r="A7" s="452">
        <v>1.1000000000000001</v>
      </c>
      <c r="B7" s="414" t="s">
        <v>96</v>
      </c>
      <c r="C7" s="481">
        <v>81533840.479999989</v>
      </c>
      <c r="D7" s="86"/>
      <c r="E7" s="4"/>
    </row>
    <row r="8" spans="1:6">
      <c r="A8" s="452">
        <v>1.2</v>
      </c>
      <c r="B8" s="414" t="s">
        <v>97</v>
      </c>
      <c r="C8" s="481">
        <v>126302154.88</v>
      </c>
      <c r="D8" s="86"/>
      <c r="E8" s="4"/>
    </row>
    <row r="9" spans="1:6">
      <c r="A9" s="452">
        <v>1.3</v>
      </c>
      <c r="B9" s="414" t="s">
        <v>98</v>
      </c>
      <c r="C9" s="481">
        <v>108369568.89</v>
      </c>
      <c r="D9" s="86"/>
      <c r="E9" s="4"/>
    </row>
    <row r="10" spans="1:6">
      <c r="A10" s="452">
        <v>2</v>
      </c>
      <c r="B10" s="415" t="s">
        <v>733</v>
      </c>
      <c r="C10" s="490"/>
      <c r="D10" s="86"/>
      <c r="E10" s="4"/>
    </row>
    <row r="11" spans="1:6">
      <c r="A11" s="452">
        <v>2.1</v>
      </c>
      <c r="B11" s="416" t="s">
        <v>734</v>
      </c>
      <c r="C11" s="482"/>
      <c r="D11" s="87"/>
      <c r="E11" s="5"/>
    </row>
    <row r="12" spans="1:6" ht="23.55" customHeight="1">
      <c r="A12" s="452">
        <v>3</v>
      </c>
      <c r="B12" s="417" t="s">
        <v>735</v>
      </c>
      <c r="C12" s="482">
        <v>757847.93</v>
      </c>
      <c r="D12" s="87"/>
      <c r="E12" s="5"/>
    </row>
    <row r="13" spans="1:6" ht="22.95" customHeight="1">
      <c r="A13" s="452">
        <v>4</v>
      </c>
      <c r="B13" s="418" t="s">
        <v>736</v>
      </c>
      <c r="C13" s="489"/>
      <c r="D13" s="87"/>
      <c r="E13" s="5"/>
    </row>
    <row r="14" spans="1:6">
      <c r="A14" s="452">
        <v>5</v>
      </c>
      <c r="B14" s="418" t="s">
        <v>737</v>
      </c>
      <c r="C14" s="489">
        <f>SUM(C15:C17)</f>
        <v>0</v>
      </c>
      <c r="D14" s="87"/>
      <c r="E14" s="5"/>
    </row>
    <row r="15" spans="1:6">
      <c r="A15" s="452">
        <v>5.0999999999999996</v>
      </c>
      <c r="B15" s="419" t="s">
        <v>738</v>
      </c>
      <c r="C15" s="481"/>
      <c r="D15" s="87"/>
      <c r="E15" s="4"/>
    </row>
    <row r="16" spans="1:6">
      <c r="A16" s="452">
        <v>5.2</v>
      </c>
      <c r="B16" s="419" t="s">
        <v>569</v>
      </c>
      <c r="C16" s="481"/>
      <c r="D16" s="86"/>
      <c r="E16" s="4"/>
    </row>
    <row r="17" spans="1:5">
      <c r="A17" s="452">
        <v>5.3</v>
      </c>
      <c r="B17" s="419" t="s">
        <v>739</v>
      </c>
      <c r="C17" s="481"/>
      <c r="D17" s="86"/>
      <c r="E17" s="4"/>
    </row>
    <row r="18" spans="1:5">
      <c r="A18" s="452">
        <v>6</v>
      </c>
      <c r="B18" s="417" t="s">
        <v>740</v>
      </c>
      <c r="C18" s="490">
        <f>SUM(C19:C20)</f>
        <v>1925207480.5278244</v>
      </c>
      <c r="D18" s="86"/>
      <c r="E18" s="4"/>
    </row>
    <row r="19" spans="1:5">
      <c r="A19" s="452">
        <v>6.1</v>
      </c>
      <c r="B19" s="419" t="s">
        <v>569</v>
      </c>
      <c r="C19" s="482">
        <v>48483957.209999993</v>
      </c>
      <c r="D19" s="86"/>
      <c r="E19" s="4"/>
    </row>
    <row r="20" spans="1:5">
      <c r="A20" s="452">
        <v>6.2</v>
      </c>
      <c r="B20" s="419" t="s">
        <v>739</v>
      </c>
      <c r="C20" s="482">
        <v>1876723523.3178244</v>
      </c>
      <c r="D20" s="86"/>
      <c r="E20" s="4"/>
    </row>
    <row r="21" spans="1:5">
      <c r="A21" s="452">
        <v>7</v>
      </c>
      <c r="B21" s="420" t="s">
        <v>741</v>
      </c>
      <c r="C21" s="489"/>
      <c r="D21" s="86"/>
      <c r="E21" s="4"/>
    </row>
    <row r="22" spans="1:5">
      <c r="A22" s="452">
        <v>8</v>
      </c>
      <c r="B22" s="421" t="s">
        <v>742</v>
      </c>
      <c r="C22" s="490"/>
      <c r="D22" s="86"/>
      <c r="E22" s="4"/>
    </row>
    <row r="23" spans="1:5">
      <c r="A23" s="452">
        <v>9</v>
      </c>
      <c r="B23" s="418" t="s">
        <v>743</v>
      </c>
      <c r="C23" s="490">
        <f>SUM(C24:C25)</f>
        <v>40004854.700000018</v>
      </c>
      <c r="D23" s="480"/>
      <c r="E23" s="4"/>
    </row>
    <row r="24" spans="1:5">
      <c r="A24" s="452">
        <v>9.1</v>
      </c>
      <c r="B24" s="422" t="s">
        <v>744</v>
      </c>
      <c r="C24" s="483">
        <v>40004854.700000018</v>
      </c>
      <c r="D24" s="88"/>
      <c r="E24" s="4"/>
    </row>
    <row r="25" spans="1:5">
      <c r="A25" s="452">
        <v>9.1999999999999993</v>
      </c>
      <c r="B25" s="422" t="s">
        <v>745</v>
      </c>
      <c r="C25" s="484"/>
      <c r="D25" s="479"/>
      <c r="E25" s="3"/>
    </row>
    <row r="26" spans="1:5">
      <c r="A26" s="452">
        <v>10</v>
      </c>
      <c r="B26" s="418" t="s">
        <v>36</v>
      </c>
      <c r="C26" s="491">
        <f>SUM(C27:C28)</f>
        <v>18631862.960000001</v>
      </c>
      <c r="D26" s="629" t="s">
        <v>945</v>
      </c>
      <c r="E26" s="4"/>
    </row>
    <row r="27" spans="1:5">
      <c r="A27" s="452">
        <v>10.1</v>
      </c>
      <c r="B27" s="422" t="s">
        <v>746</v>
      </c>
      <c r="C27" s="481"/>
      <c r="D27" s="86"/>
      <c r="E27" s="4"/>
    </row>
    <row r="28" spans="1:5">
      <c r="A28" s="452">
        <v>10.199999999999999</v>
      </c>
      <c r="B28" s="422" t="s">
        <v>747</v>
      </c>
      <c r="C28" s="481">
        <v>18631862.960000001</v>
      </c>
      <c r="D28" s="86"/>
      <c r="E28" s="4"/>
    </row>
    <row r="29" spans="1:5">
      <c r="A29" s="452">
        <v>11</v>
      </c>
      <c r="B29" s="418" t="s">
        <v>748</v>
      </c>
      <c r="C29" s="490">
        <f>SUM(C30:C31)</f>
        <v>1747044.9600000028</v>
      </c>
      <c r="D29" s="86"/>
      <c r="E29" s="4"/>
    </row>
    <row r="30" spans="1:5">
      <c r="A30" s="452">
        <v>11.1</v>
      </c>
      <c r="B30" s="422" t="s">
        <v>749</v>
      </c>
      <c r="C30" s="481">
        <v>1747044.9600000028</v>
      </c>
      <c r="D30" s="86"/>
      <c r="E30" s="4"/>
    </row>
    <row r="31" spans="1:5">
      <c r="A31" s="452">
        <v>11.2</v>
      </c>
      <c r="B31" s="422" t="s">
        <v>750</v>
      </c>
      <c r="C31" s="481"/>
      <c r="D31" s="86"/>
      <c r="E31" s="4"/>
    </row>
    <row r="32" spans="1:5">
      <c r="A32" s="452">
        <v>13</v>
      </c>
      <c r="B32" s="418" t="s">
        <v>99</v>
      </c>
      <c r="C32" s="490">
        <v>36510487</v>
      </c>
      <c r="D32" s="86"/>
      <c r="E32" s="4"/>
    </row>
    <row r="33" spans="1:5">
      <c r="A33" s="452">
        <v>13.1</v>
      </c>
      <c r="B33" s="423" t="s">
        <v>751</v>
      </c>
      <c r="C33" s="481">
        <v>11082036</v>
      </c>
      <c r="D33" s="86"/>
      <c r="E33" s="4"/>
    </row>
    <row r="34" spans="1:5">
      <c r="A34" s="452">
        <v>13.2</v>
      </c>
      <c r="B34" s="423" t="s">
        <v>752</v>
      </c>
      <c r="C34" s="483"/>
      <c r="D34" s="88"/>
      <c r="E34" s="4"/>
    </row>
    <row r="35" spans="1:5">
      <c r="A35" s="452">
        <v>14</v>
      </c>
      <c r="B35" s="424" t="s">
        <v>753</v>
      </c>
      <c r="C35" s="492">
        <f>SUM(C6,C10,C12,C13,C14,C18,C21,C22,C23,C26,C29,C32)</f>
        <v>2339065142.3278241</v>
      </c>
      <c r="D35" s="88"/>
      <c r="E35" s="4"/>
    </row>
    <row r="36" spans="1:5">
      <c r="A36" s="452"/>
      <c r="B36" s="425" t="s">
        <v>104</v>
      </c>
      <c r="C36" s="178"/>
      <c r="D36" s="89"/>
      <c r="E36" s="4"/>
    </row>
    <row r="37" spans="1:5">
      <c r="A37" s="452">
        <v>15</v>
      </c>
      <c r="B37" s="426" t="s">
        <v>754</v>
      </c>
      <c r="C37" s="484"/>
      <c r="D37" s="479"/>
      <c r="E37" s="3"/>
    </row>
    <row r="38" spans="1:5">
      <c r="A38" s="452">
        <v>15.1</v>
      </c>
      <c r="B38" s="427" t="s">
        <v>734</v>
      </c>
      <c r="C38" s="481"/>
      <c r="D38" s="86"/>
      <c r="E38" s="4"/>
    </row>
    <row r="39" spans="1:5" ht="20.399999999999999">
      <c r="A39" s="452">
        <v>16</v>
      </c>
      <c r="B39" s="420" t="s">
        <v>755</v>
      </c>
      <c r="C39" s="490">
        <v>276111.98</v>
      </c>
      <c r="D39" s="86"/>
      <c r="E39" s="4"/>
    </row>
    <row r="40" spans="1:5">
      <c r="A40" s="452">
        <v>17</v>
      </c>
      <c r="B40" s="420" t="s">
        <v>756</v>
      </c>
      <c r="C40" s="490">
        <f>SUM(C41:C44)</f>
        <v>1900188842.7030249</v>
      </c>
      <c r="D40" s="86"/>
      <c r="E40" s="4"/>
    </row>
    <row r="41" spans="1:5">
      <c r="A41" s="452">
        <v>17.100000000000001</v>
      </c>
      <c r="B41" s="428" t="s">
        <v>757</v>
      </c>
      <c r="C41" s="481">
        <v>793416248</v>
      </c>
      <c r="D41" s="86"/>
      <c r="E41" s="4"/>
    </row>
    <row r="42" spans="1:5">
      <c r="A42" s="471">
        <v>17.2</v>
      </c>
      <c r="B42" s="472" t="s">
        <v>100</v>
      </c>
      <c r="C42" s="483">
        <v>1089950706.2030249</v>
      </c>
      <c r="D42" s="88"/>
      <c r="E42" s="4"/>
    </row>
    <row r="43" spans="1:5">
      <c r="A43" s="452">
        <v>17.3</v>
      </c>
      <c r="B43" s="473" t="s">
        <v>758</v>
      </c>
      <c r="C43" s="485"/>
      <c r="D43" s="474"/>
      <c r="E43" s="4"/>
    </row>
    <row r="44" spans="1:5">
      <c r="A44" s="452">
        <v>17.399999999999999</v>
      </c>
      <c r="B44" s="473" t="s">
        <v>759</v>
      </c>
      <c r="C44" s="485">
        <v>16821888.5</v>
      </c>
      <c r="D44" s="474"/>
      <c r="E44" s="4"/>
    </row>
    <row r="45" spans="1:5">
      <c r="A45" s="452">
        <v>18</v>
      </c>
      <c r="B45" s="436" t="s">
        <v>760</v>
      </c>
      <c r="C45" s="493"/>
      <c r="D45" s="474"/>
      <c r="E45" s="3"/>
    </row>
    <row r="46" spans="1:5">
      <c r="A46" s="452">
        <v>19</v>
      </c>
      <c r="B46" s="436" t="s">
        <v>761</v>
      </c>
      <c r="C46" s="490">
        <f>SUM(C47:C48)</f>
        <v>2365519.34</v>
      </c>
      <c r="D46" s="475"/>
    </row>
    <row r="47" spans="1:5">
      <c r="A47" s="452">
        <v>19.100000000000001</v>
      </c>
      <c r="B47" s="476" t="s">
        <v>762</v>
      </c>
      <c r="C47" s="486"/>
      <c r="D47" s="475"/>
    </row>
    <row r="48" spans="1:5">
      <c r="A48" s="452">
        <v>19.2</v>
      </c>
      <c r="B48" s="476" t="s">
        <v>763</v>
      </c>
      <c r="C48" s="481">
        <v>2365519.34</v>
      </c>
      <c r="D48" s="475"/>
    </row>
    <row r="49" spans="1:4">
      <c r="A49" s="452">
        <v>20</v>
      </c>
      <c r="B49" s="432" t="s">
        <v>101</v>
      </c>
      <c r="C49" s="490">
        <v>105605790.55973001</v>
      </c>
      <c r="D49" s="475"/>
    </row>
    <row r="50" spans="1:4">
      <c r="A50" s="452">
        <v>21</v>
      </c>
      <c r="B50" s="433" t="s">
        <v>89</v>
      </c>
      <c r="C50" s="490">
        <v>38415833.649999999</v>
      </c>
      <c r="D50" s="475"/>
    </row>
    <row r="51" spans="1:4">
      <c r="A51" s="452">
        <v>21.1</v>
      </c>
      <c r="B51" s="429" t="s">
        <v>764</v>
      </c>
      <c r="C51" s="486"/>
      <c r="D51" s="475"/>
    </row>
    <row r="52" spans="1:4">
      <c r="A52" s="452">
        <v>22</v>
      </c>
      <c r="B52" s="432" t="s">
        <v>765</v>
      </c>
      <c r="C52" s="490">
        <f>SUM(C37,C39,C40,C45,C46,C49,C50)</f>
        <v>2046852098.2327549</v>
      </c>
      <c r="D52" s="475"/>
    </row>
    <row r="53" spans="1:4">
      <c r="A53" s="452"/>
      <c r="B53" s="434" t="s">
        <v>766</v>
      </c>
      <c r="C53" s="490"/>
      <c r="D53" s="475"/>
    </row>
    <row r="54" spans="1:4">
      <c r="A54" s="452">
        <v>23</v>
      </c>
      <c r="B54" s="432" t="s">
        <v>105</v>
      </c>
      <c r="C54" s="490">
        <v>5207180</v>
      </c>
      <c r="D54" s="475"/>
    </row>
    <row r="55" spans="1:4">
      <c r="A55" s="452">
        <v>24</v>
      </c>
      <c r="B55" s="432" t="s">
        <v>767</v>
      </c>
      <c r="C55" s="494"/>
      <c r="D55" s="475"/>
    </row>
    <row r="56" spans="1:4">
      <c r="A56" s="452">
        <v>25</v>
      </c>
      <c r="B56" s="432" t="s">
        <v>102</v>
      </c>
      <c r="C56" s="490">
        <v>36929894.049999997</v>
      </c>
      <c r="D56" s="475"/>
    </row>
    <row r="57" spans="1:4">
      <c r="A57" s="452">
        <v>26</v>
      </c>
      <c r="B57" s="436" t="s">
        <v>768</v>
      </c>
      <c r="C57" s="494"/>
      <c r="D57" s="475"/>
    </row>
    <row r="58" spans="1:4">
      <c r="A58" s="452">
        <v>27</v>
      </c>
      <c r="B58" s="436" t="s">
        <v>769</v>
      </c>
      <c r="C58" s="494">
        <f>SUM(C59:C60)</f>
        <v>0</v>
      </c>
      <c r="D58" s="475"/>
    </row>
    <row r="59" spans="1:4">
      <c r="A59" s="452">
        <v>27.1</v>
      </c>
      <c r="B59" s="476" t="s">
        <v>770</v>
      </c>
      <c r="C59" s="487"/>
      <c r="D59" s="475"/>
    </row>
    <row r="60" spans="1:4">
      <c r="A60" s="452">
        <v>27.2</v>
      </c>
      <c r="B60" s="473" t="s">
        <v>771</v>
      </c>
      <c r="C60" s="487"/>
      <c r="D60" s="475"/>
    </row>
    <row r="61" spans="1:4">
      <c r="A61" s="452">
        <v>28</v>
      </c>
      <c r="B61" s="433" t="s">
        <v>772</v>
      </c>
      <c r="C61" s="494"/>
      <c r="D61" s="475"/>
    </row>
    <row r="62" spans="1:4">
      <c r="A62" s="452">
        <v>29</v>
      </c>
      <c r="B62" s="436" t="s">
        <v>773</v>
      </c>
      <c r="C62" s="494">
        <f>SUM(C63:C65)</f>
        <v>0</v>
      </c>
      <c r="D62" s="475"/>
    </row>
    <row r="63" spans="1:4">
      <c r="A63" s="452">
        <v>29.1</v>
      </c>
      <c r="B63" s="477" t="s">
        <v>774</v>
      </c>
      <c r="C63" s="487"/>
      <c r="D63" s="475"/>
    </row>
    <row r="64" spans="1:4" ht="24" customHeight="1">
      <c r="A64" s="452">
        <v>29.2</v>
      </c>
      <c r="B64" s="476" t="s">
        <v>775</v>
      </c>
      <c r="C64" s="487"/>
      <c r="D64" s="475"/>
    </row>
    <row r="65" spans="1:4" ht="22.05" customHeight="1">
      <c r="A65" s="452">
        <v>29.3</v>
      </c>
      <c r="B65" s="478" t="s">
        <v>776</v>
      </c>
      <c r="C65" s="487"/>
      <c r="D65" s="475"/>
    </row>
    <row r="66" spans="1:4">
      <c r="A66" s="452">
        <v>30</v>
      </c>
      <c r="B66" s="436" t="s">
        <v>103</v>
      </c>
      <c r="C66" s="490">
        <v>250075970.07999575</v>
      </c>
      <c r="D66" s="475"/>
    </row>
    <row r="67" spans="1:4">
      <c r="A67" s="452">
        <v>31</v>
      </c>
      <c r="B67" s="435" t="s">
        <v>777</v>
      </c>
      <c r="C67" s="490">
        <f>SUM(C54,C55,C56,C57,C58,C61,C62,C66)</f>
        <v>292213044.12999576</v>
      </c>
      <c r="D67" s="475"/>
    </row>
    <row r="68" spans="1:4">
      <c r="A68" s="452">
        <v>32</v>
      </c>
      <c r="B68" s="436" t="s">
        <v>778</v>
      </c>
      <c r="C68" s="490">
        <f>SUM(C52,C67)</f>
        <v>2339065142.3627505</v>
      </c>
      <c r="D68" s="475"/>
    </row>
  </sheetData>
  <pageMargins left="0.7" right="0.7" top="0.75" bottom="0.75" header="0.3" footer="0.3"/>
  <pageSetup paperSize="9" orientation="portrait" horizontalDpi="4294967295" verticalDpi="4294967295" r:id="rId1"/>
  <ignoredErrors>
    <ignoredError sqref="C29 C46 C6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5"/>
  <sheetViews>
    <sheetView zoomScale="80" zoomScaleNormal="80" workbookViewId="0">
      <pane xSplit="2" ySplit="7" topLeftCell="I8" activePane="bottomRight" state="frozen"/>
      <selection pane="topRight" activeCell="C1" sqref="C1"/>
      <selection pane="bottomLeft" activeCell="A8" sqref="A8"/>
      <selection pane="bottomRight" activeCell="C8" sqref="C8:R21"/>
    </sheetView>
  </sheetViews>
  <sheetFormatPr defaultColWidth="9.21875" defaultRowHeight="13.8"/>
  <cols>
    <col min="1" max="1" width="10.5546875" style="1" bestFit="1" customWidth="1"/>
    <col min="2" max="2" width="60.109375" style="1" customWidth="1"/>
    <col min="3" max="3" width="11.33203125" style="1" bestFit="1" customWidth="1"/>
    <col min="4" max="4" width="13.21875" style="1" bestFit="1" customWidth="1"/>
    <col min="5" max="5" width="10.33203125" style="1" bestFit="1" customWidth="1"/>
    <col min="6" max="6" width="13.21875" style="1" bestFit="1" customWidth="1"/>
    <col min="7" max="7" width="10.33203125" style="1" bestFit="1" customWidth="1"/>
    <col min="8" max="8" width="13.21875" style="1" bestFit="1" customWidth="1"/>
    <col min="9" max="9" width="10.33203125" style="1" bestFit="1" customWidth="1"/>
    <col min="10" max="10" width="13.21875" style="1" bestFit="1" customWidth="1"/>
    <col min="11" max="11" width="12.77734375" style="1" bestFit="1" customWidth="1"/>
    <col min="12" max="12" width="13.21875" style="1" bestFit="1" customWidth="1"/>
    <col min="13" max="13" width="11.33203125" style="1" bestFit="1" customWidth="1"/>
    <col min="14" max="14" width="13.21875" style="1" bestFit="1" customWidth="1"/>
    <col min="15" max="15" width="9.44140625" style="1" bestFit="1" customWidth="1"/>
    <col min="16" max="16" width="13.21875" style="1" bestFit="1" customWidth="1"/>
    <col min="17" max="17" width="9.44140625" style="1" bestFit="1" customWidth="1"/>
    <col min="18" max="18" width="13.21875" style="1" bestFit="1" customWidth="1"/>
    <col min="19" max="19" width="31.5546875" style="1" bestFit="1" customWidth="1"/>
    <col min="20" max="16384" width="9.21875" style="8"/>
  </cols>
  <sheetData>
    <row r="1" spans="1:19">
      <c r="A1" s="1" t="s">
        <v>108</v>
      </c>
      <c r="B1" s="1" t="str">
        <f>Info!C2</f>
        <v>კრედო</v>
      </c>
    </row>
    <row r="2" spans="1:19">
      <c r="A2" s="1" t="s">
        <v>109</v>
      </c>
      <c r="B2" s="346">
        <f>'1. key ratios'!B2</f>
        <v>45199</v>
      </c>
    </row>
    <row r="4" spans="1:19" ht="42" thickBot="1">
      <c r="A4" s="31" t="s">
        <v>259</v>
      </c>
      <c r="B4" s="202" t="s">
        <v>294</v>
      </c>
    </row>
    <row r="5" spans="1:19">
      <c r="A5" s="75"/>
      <c r="B5" s="77"/>
      <c r="C5" s="69" t="s">
        <v>0</v>
      </c>
      <c r="D5" s="69" t="s">
        <v>1</v>
      </c>
      <c r="E5" s="69" t="s">
        <v>2</v>
      </c>
      <c r="F5" s="69" t="s">
        <v>3</v>
      </c>
      <c r="G5" s="69" t="s">
        <v>4</v>
      </c>
      <c r="H5" s="69" t="s">
        <v>5</v>
      </c>
      <c r="I5" s="69" t="s">
        <v>145</v>
      </c>
      <c r="J5" s="69" t="s">
        <v>146</v>
      </c>
      <c r="K5" s="69" t="s">
        <v>147</v>
      </c>
      <c r="L5" s="69" t="s">
        <v>148</v>
      </c>
      <c r="M5" s="69" t="s">
        <v>149</v>
      </c>
      <c r="N5" s="69" t="s">
        <v>150</v>
      </c>
      <c r="O5" s="69" t="s">
        <v>281</v>
      </c>
      <c r="P5" s="69" t="s">
        <v>282</v>
      </c>
      <c r="Q5" s="69" t="s">
        <v>283</v>
      </c>
      <c r="R5" s="195" t="s">
        <v>284</v>
      </c>
      <c r="S5" s="70" t="s">
        <v>285</v>
      </c>
    </row>
    <row r="6" spans="1:19" ht="46.5" customHeight="1">
      <c r="A6" s="93"/>
      <c r="B6" s="848" t="s">
        <v>286</v>
      </c>
      <c r="C6" s="846">
        <v>0</v>
      </c>
      <c r="D6" s="847"/>
      <c r="E6" s="846">
        <v>0.2</v>
      </c>
      <c r="F6" s="847"/>
      <c r="G6" s="846">
        <v>0.35</v>
      </c>
      <c r="H6" s="847"/>
      <c r="I6" s="846">
        <v>0.5</v>
      </c>
      <c r="J6" s="847"/>
      <c r="K6" s="846">
        <v>0.75</v>
      </c>
      <c r="L6" s="847"/>
      <c r="M6" s="846">
        <v>1</v>
      </c>
      <c r="N6" s="847"/>
      <c r="O6" s="846">
        <v>1.5</v>
      </c>
      <c r="P6" s="847"/>
      <c r="Q6" s="846">
        <v>2.5</v>
      </c>
      <c r="R6" s="847"/>
      <c r="S6" s="844" t="s">
        <v>156</v>
      </c>
    </row>
    <row r="7" spans="1:19">
      <c r="A7" s="93"/>
      <c r="B7" s="849"/>
      <c r="C7" s="201" t="s">
        <v>279</v>
      </c>
      <c r="D7" s="201" t="s">
        <v>280</v>
      </c>
      <c r="E7" s="201" t="s">
        <v>279</v>
      </c>
      <c r="F7" s="201" t="s">
        <v>280</v>
      </c>
      <c r="G7" s="201" t="s">
        <v>279</v>
      </c>
      <c r="H7" s="201" t="s">
        <v>280</v>
      </c>
      <c r="I7" s="201" t="s">
        <v>279</v>
      </c>
      <c r="J7" s="201" t="s">
        <v>280</v>
      </c>
      <c r="K7" s="201" t="s">
        <v>279</v>
      </c>
      <c r="L7" s="201" t="s">
        <v>280</v>
      </c>
      <c r="M7" s="201" t="s">
        <v>279</v>
      </c>
      <c r="N7" s="201" t="s">
        <v>280</v>
      </c>
      <c r="O7" s="201" t="s">
        <v>279</v>
      </c>
      <c r="P7" s="201" t="s">
        <v>280</v>
      </c>
      <c r="Q7" s="201" t="s">
        <v>279</v>
      </c>
      <c r="R7" s="201" t="s">
        <v>280</v>
      </c>
      <c r="S7" s="845"/>
    </row>
    <row r="8" spans="1:19">
      <c r="A8" s="73">
        <v>1</v>
      </c>
      <c r="B8" s="114" t="s">
        <v>134</v>
      </c>
      <c r="C8" s="179">
        <v>104632779.22</v>
      </c>
      <c r="D8" s="179"/>
      <c r="E8" s="179"/>
      <c r="F8" s="196"/>
      <c r="G8" s="179"/>
      <c r="H8" s="179"/>
      <c r="I8" s="179"/>
      <c r="J8" s="179"/>
      <c r="K8" s="179"/>
      <c r="L8" s="179"/>
      <c r="M8" s="179">
        <v>44022955.329999998</v>
      </c>
      <c r="N8" s="179"/>
      <c r="O8" s="179"/>
      <c r="P8" s="179"/>
      <c r="Q8" s="179"/>
      <c r="R8" s="196"/>
      <c r="S8" s="205">
        <f>$C$6*SUM(C8:D8)+$E$6*SUM(E8:F8)+$G$6*SUM(G8:H8)+$I$6*SUM(I8:J8)+$K$6*SUM(K8:L8)+$M$6*SUM(M8:N8)+$O$6*SUM(O8:P8)+$Q$6*SUM(Q8:R8)</f>
        <v>44022955.329999998</v>
      </c>
    </row>
    <row r="9" spans="1:19" ht="27.6">
      <c r="A9" s="73">
        <v>2</v>
      </c>
      <c r="B9" s="36" t="s">
        <v>135</v>
      </c>
      <c r="C9" s="179"/>
      <c r="D9" s="179"/>
      <c r="E9" s="179"/>
      <c r="F9" s="179"/>
      <c r="G9" s="179"/>
      <c r="H9" s="179"/>
      <c r="I9" s="179"/>
      <c r="J9" s="179"/>
      <c r="K9" s="179"/>
      <c r="L9" s="179"/>
      <c r="M9" s="179"/>
      <c r="N9" s="179"/>
      <c r="O9" s="179"/>
      <c r="P9" s="179"/>
      <c r="Q9" s="179"/>
      <c r="R9" s="196"/>
      <c r="S9" s="205">
        <f t="shared" ref="S9:S21" si="0">$C$6*SUM(C9:D9)+$E$6*SUM(E9:F9)+$G$6*SUM(G9:H9)+$I$6*SUM(I9:J9)+$K$6*SUM(K9:L9)+$M$6*SUM(M9:N9)+$O$6*SUM(O9:P9)+$Q$6*SUM(Q9:R9)</f>
        <v>0</v>
      </c>
    </row>
    <row r="10" spans="1:19">
      <c r="A10" s="73">
        <v>3</v>
      </c>
      <c r="B10" s="114" t="s">
        <v>136</v>
      </c>
      <c r="C10" s="179">
        <v>26130377.539999999</v>
      </c>
      <c r="D10" s="179"/>
      <c r="E10" s="179"/>
      <c r="F10" s="179"/>
      <c r="G10" s="179"/>
      <c r="H10" s="179"/>
      <c r="I10" s="179"/>
      <c r="J10" s="179"/>
      <c r="K10" s="179"/>
      <c r="L10" s="179"/>
      <c r="M10" s="179"/>
      <c r="N10" s="179"/>
      <c r="O10" s="179"/>
      <c r="P10" s="179"/>
      <c r="Q10" s="179"/>
      <c r="R10" s="196"/>
      <c r="S10" s="205">
        <f t="shared" si="0"/>
        <v>0</v>
      </c>
    </row>
    <row r="11" spans="1:19" ht="27.6">
      <c r="A11" s="73">
        <v>4</v>
      </c>
      <c r="B11" s="36" t="s">
        <v>137</v>
      </c>
      <c r="C11" s="179"/>
      <c r="D11" s="179"/>
      <c r="E11" s="179"/>
      <c r="F11" s="179"/>
      <c r="G11" s="179"/>
      <c r="H11" s="179"/>
      <c r="I11" s="179"/>
      <c r="J11" s="179"/>
      <c r="K11" s="179"/>
      <c r="L11" s="179"/>
      <c r="M11" s="179"/>
      <c r="N11" s="179"/>
      <c r="O11" s="179"/>
      <c r="P11" s="179"/>
      <c r="Q11" s="179"/>
      <c r="R11" s="196"/>
      <c r="S11" s="205">
        <f t="shared" si="0"/>
        <v>0</v>
      </c>
    </row>
    <row r="12" spans="1:19">
      <c r="A12" s="73">
        <v>5</v>
      </c>
      <c r="B12" s="114" t="s">
        <v>990</v>
      </c>
      <c r="C12" s="179">
        <v>0</v>
      </c>
      <c r="D12" s="179"/>
      <c r="E12" s="179"/>
      <c r="F12" s="179"/>
      <c r="G12" s="179"/>
      <c r="H12" s="179"/>
      <c r="I12" s="179"/>
      <c r="J12" s="179"/>
      <c r="K12" s="179"/>
      <c r="L12" s="179"/>
      <c r="M12" s="179"/>
      <c r="N12" s="179"/>
      <c r="O12" s="179"/>
      <c r="P12" s="179"/>
      <c r="Q12" s="179"/>
      <c r="R12" s="196"/>
      <c r="S12" s="205">
        <f t="shared" si="0"/>
        <v>0</v>
      </c>
    </row>
    <row r="13" spans="1:19">
      <c r="A13" s="73">
        <v>6</v>
      </c>
      <c r="B13" s="114" t="s">
        <v>138</v>
      </c>
      <c r="C13" s="179"/>
      <c r="D13" s="179"/>
      <c r="E13" s="179">
        <v>71249173.660000011</v>
      </c>
      <c r="F13" s="179"/>
      <c r="G13" s="179"/>
      <c r="H13" s="179"/>
      <c r="I13" s="179">
        <v>37021226.259999998</v>
      </c>
      <c r="J13" s="179"/>
      <c r="K13" s="179"/>
      <c r="L13" s="179"/>
      <c r="M13" s="179">
        <v>99168.980000004172</v>
      </c>
      <c r="N13" s="179"/>
      <c r="O13" s="179"/>
      <c r="P13" s="179"/>
      <c r="Q13" s="179"/>
      <c r="R13" s="196"/>
      <c r="S13" s="205">
        <f t="shared" si="0"/>
        <v>32859616.842000008</v>
      </c>
    </row>
    <row r="14" spans="1:19">
      <c r="A14" s="73">
        <v>7</v>
      </c>
      <c r="B14" s="114" t="s">
        <v>71</v>
      </c>
      <c r="C14" s="179">
        <v>0</v>
      </c>
      <c r="D14" s="179"/>
      <c r="E14" s="179"/>
      <c r="F14" s="179"/>
      <c r="G14" s="179"/>
      <c r="H14" s="179"/>
      <c r="I14" s="179"/>
      <c r="J14" s="179"/>
      <c r="K14" s="179"/>
      <c r="L14" s="179"/>
      <c r="M14" s="179">
        <v>21068522.038969204</v>
      </c>
      <c r="N14" s="179">
        <v>1167789.5</v>
      </c>
      <c r="O14" s="179"/>
      <c r="P14" s="179"/>
      <c r="Q14" s="179"/>
      <c r="R14" s="196"/>
      <c r="S14" s="205">
        <f t="shared" si="0"/>
        <v>22236311.538969204</v>
      </c>
    </row>
    <row r="15" spans="1:19">
      <c r="A15" s="73">
        <v>8</v>
      </c>
      <c r="B15" s="114" t="s">
        <v>72</v>
      </c>
      <c r="C15" s="179"/>
      <c r="D15" s="179"/>
      <c r="E15" s="179"/>
      <c r="F15" s="179"/>
      <c r="G15" s="179"/>
      <c r="H15" s="179"/>
      <c r="I15" s="179"/>
      <c r="J15" s="179"/>
      <c r="K15" s="179">
        <v>1752212511.7415273</v>
      </c>
      <c r="L15" s="179">
        <v>22478211.769999996</v>
      </c>
      <c r="M15" s="179"/>
      <c r="N15" s="179"/>
      <c r="O15" s="179"/>
      <c r="P15" s="179"/>
      <c r="Q15" s="179"/>
      <c r="R15" s="196"/>
      <c r="S15" s="205">
        <f t="shared" si="0"/>
        <v>1331018042.6336455</v>
      </c>
    </row>
    <row r="16" spans="1:19" ht="27" customHeight="1">
      <c r="A16" s="73">
        <v>9</v>
      </c>
      <c r="B16" s="36" t="s">
        <v>991</v>
      </c>
      <c r="C16" s="179"/>
      <c r="D16" s="179"/>
      <c r="E16" s="179"/>
      <c r="F16" s="179"/>
      <c r="G16" s="179">
        <v>96693984.586147726</v>
      </c>
      <c r="H16" s="179"/>
      <c r="I16" s="179"/>
      <c r="J16" s="179"/>
      <c r="K16" s="179"/>
      <c r="L16" s="179"/>
      <c r="M16" s="179"/>
      <c r="N16" s="179"/>
      <c r="O16" s="179"/>
      <c r="P16" s="179"/>
      <c r="Q16" s="179"/>
      <c r="R16" s="196"/>
      <c r="S16" s="205">
        <f t="shared" si="0"/>
        <v>33842894.605151705</v>
      </c>
    </row>
    <row r="17" spans="1:19">
      <c r="A17" s="73">
        <v>10</v>
      </c>
      <c r="B17" s="114" t="s">
        <v>67</v>
      </c>
      <c r="C17" s="179"/>
      <c r="D17" s="179"/>
      <c r="E17" s="179"/>
      <c r="F17" s="179"/>
      <c r="G17" s="179"/>
      <c r="H17" s="179"/>
      <c r="I17" s="179">
        <v>40710.161221513292</v>
      </c>
      <c r="J17" s="179"/>
      <c r="K17" s="179"/>
      <c r="L17" s="179"/>
      <c r="M17" s="179">
        <v>2498558.5927987806</v>
      </c>
      <c r="N17" s="179"/>
      <c r="O17" s="179">
        <v>4209235.9250087412</v>
      </c>
      <c r="P17" s="179"/>
      <c r="Q17" s="179"/>
      <c r="R17" s="196"/>
      <c r="S17" s="205">
        <f t="shared" si="0"/>
        <v>8832767.5609226488</v>
      </c>
    </row>
    <row r="18" spans="1:19">
      <c r="A18" s="73">
        <v>11</v>
      </c>
      <c r="B18" s="114" t="s">
        <v>68</v>
      </c>
      <c r="C18" s="179"/>
      <c r="D18" s="179"/>
      <c r="E18" s="179"/>
      <c r="F18" s="179"/>
      <c r="G18" s="179"/>
      <c r="H18" s="179"/>
      <c r="I18" s="179"/>
      <c r="J18" s="179"/>
      <c r="K18" s="179"/>
      <c r="L18" s="179"/>
      <c r="M18" s="179"/>
      <c r="N18" s="179"/>
      <c r="O18" s="179"/>
      <c r="P18" s="179"/>
      <c r="Q18" s="179"/>
      <c r="R18" s="196"/>
      <c r="S18" s="205">
        <f t="shared" si="0"/>
        <v>0</v>
      </c>
    </row>
    <row r="19" spans="1:19">
      <c r="A19" s="73">
        <v>12</v>
      </c>
      <c r="B19" s="114" t="s">
        <v>69</v>
      </c>
      <c r="C19" s="179"/>
      <c r="D19" s="179"/>
      <c r="E19" s="179"/>
      <c r="F19" s="179"/>
      <c r="G19" s="179"/>
      <c r="H19" s="179"/>
      <c r="I19" s="179"/>
      <c r="J19" s="179"/>
      <c r="K19" s="179"/>
      <c r="L19" s="179"/>
      <c r="M19" s="179"/>
      <c r="N19" s="179"/>
      <c r="O19" s="179"/>
      <c r="P19" s="179"/>
      <c r="Q19" s="179"/>
      <c r="R19" s="196"/>
      <c r="S19" s="205">
        <f t="shared" si="0"/>
        <v>0</v>
      </c>
    </row>
    <row r="20" spans="1:19">
      <c r="A20" s="73">
        <v>13</v>
      </c>
      <c r="B20" s="114" t="s">
        <v>70</v>
      </c>
      <c r="C20" s="179"/>
      <c r="D20" s="179"/>
      <c r="E20" s="179"/>
      <c r="F20" s="179"/>
      <c r="G20" s="179"/>
      <c r="H20" s="179"/>
      <c r="I20" s="179"/>
      <c r="J20" s="179"/>
      <c r="K20" s="179"/>
      <c r="L20" s="179"/>
      <c r="M20" s="179"/>
      <c r="N20" s="179"/>
      <c r="O20" s="179"/>
      <c r="P20" s="179"/>
      <c r="Q20" s="179"/>
      <c r="R20" s="196"/>
      <c r="S20" s="205">
        <f t="shared" si="0"/>
        <v>0</v>
      </c>
    </row>
    <row r="21" spans="1:19">
      <c r="A21" s="73">
        <v>14</v>
      </c>
      <c r="B21" s="732" t="s">
        <v>154</v>
      </c>
      <c r="C21" s="179">
        <v>81533840.479999989</v>
      </c>
      <c r="D21" s="179"/>
      <c r="E21" s="179"/>
      <c r="F21" s="179"/>
      <c r="G21" s="179"/>
      <c r="H21" s="179"/>
      <c r="I21" s="179"/>
      <c r="J21" s="179"/>
      <c r="K21" s="179"/>
      <c r="L21" s="179"/>
      <c r="M21" s="179">
        <v>79020234.160000011</v>
      </c>
      <c r="N21" s="179"/>
      <c r="O21" s="179"/>
      <c r="P21" s="179"/>
      <c r="Q21" s="179"/>
      <c r="R21" s="196"/>
      <c r="S21" s="205">
        <f t="shared" si="0"/>
        <v>79020234.160000011</v>
      </c>
    </row>
    <row r="22" spans="1:19" ht="14.4" thickBot="1">
      <c r="A22" s="56"/>
      <c r="B22" s="98" t="s">
        <v>66</v>
      </c>
      <c r="C22" s="180">
        <f>SUM(C8:C21)</f>
        <v>212296997.23999998</v>
      </c>
      <c r="D22" s="180">
        <f t="shared" ref="D22:S22" si="1">SUM(D8:D21)</f>
        <v>0</v>
      </c>
      <c r="E22" s="180">
        <f t="shared" si="1"/>
        <v>71249173.660000011</v>
      </c>
      <c r="F22" s="180">
        <f t="shared" si="1"/>
        <v>0</v>
      </c>
      <c r="G22" s="180">
        <f t="shared" si="1"/>
        <v>96693984.586147726</v>
      </c>
      <c r="H22" s="180">
        <f t="shared" si="1"/>
        <v>0</v>
      </c>
      <c r="I22" s="180">
        <f t="shared" si="1"/>
        <v>37061936.42122151</v>
      </c>
      <c r="J22" s="180">
        <f t="shared" si="1"/>
        <v>0</v>
      </c>
      <c r="K22" s="180">
        <f t="shared" si="1"/>
        <v>1752212511.7415273</v>
      </c>
      <c r="L22" s="180">
        <f t="shared" si="1"/>
        <v>22478211.769999996</v>
      </c>
      <c r="M22" s="180">
        <f t="shared" si="1"/>
        <v>146709439.10176802</v>
      </c>
      <c r="N22" s="180">
        <f t="shared" si="1"/>
        <v>1167789.5</v>
      </c>
      <c r="O22" s="180">
        <f t="shared" si="1"/>
        <v>4209235.9250087412</v>
      </c>
      <c r="P22" s="180">
        <f t="shared" si="1"/>
        <v>0</v>
      </c>
      <c r="Q22" s="180">
        <f t="shared" si="1"/>
        <v>0</v>
      </c>
      <c r="R22" s="180">
        <f t="shared" si="1"/>
        <v>0</v>
      </c>
      <c r="S22" s="731">
        <f t="shared" si="1"/>
        <v>1551832822.6706891</v>
      </c>
    </row>
    <row r="23" spans="1:19">
      <c r="S23" s="730"/>
    </row>
    <row r="24" spans="1:19">
      <c r="S24" s="730"/>
    </row>
    <row r="25" spans="1:19">
      <c r="S25" s="730"/>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T7" activePane="bottomRight" state="frozen"/>
      <selection pane="topRight" activeCell="C1" sqref="C1"/>
      <selection pane="bottomLeft" activeCell="A6" sqref="A6"/>
      <selection pane="bottomRight" activeCell="B15" sqref="B15"/>
    </sheetView>
  </sheetViews>
  <sheetFormatPr defaultColWidth="9.21875" defaultRowHeight="13.8"/>
  <cols>
    <col min="1" max="1" width="10.5546875" style="1" bestFit="1" customWidth="1"/>
    <col min="2" max="2" width="74.5546875" style="1" customWidth="1"/>
    <col min="3" max="3" width="19" style="1" customWidth="1"/>
    <col min="4" max="4" width="19.5546875" style="1" customWidth="1"/>
    <col min="5" max="5" width="31.21875" style="1" customWidth="1"/>
    <col min="6" max="6" width="29.21875" style="1" customWidth="1"/>
    <col min="7" max="7" width="28.5546875" style="1" customWidth="1"/>
    <col min="8" max="8" width="26.44140625" style="1" customWidth="1"/>
    <col min="9" max="9" width="23.77734375" style="1" customWidth="1"/>
    <col min="10" max="10" width="21.5546875" style="1" customWidth="1"/>
    <col min="11" max="11" width="15.77734375" style="1" customWidth="1"/>
    <col min="12" max="12" width="13.21875" style="1" customWidth="1"/>
    <col min="13" max="13" width="20.77734375" style="1" customWidth="1"/>
    <col min="14" max="14" width="19.21875" style="1" customWidth="1"/>
    <col min="15" max="15" width="18.44140625" style="1" customWidth="1"/>
    <col min="16" max="16" width="19" style="1" customWidth="1"/>
    <col min="17" max="17" width="20.21875" style="1" customWidth="1"/>
    <col min="18" max="18" width="18" style="1" customWidth="1"/>
    <col min="19" max="19" width="36" style="1" customWidth="1"/>
    <col min="20" max="20" width="19.44140625" style="1" customWidth="1"/>
    <col min="21" max="21" width="19.21875" style="1" customWidth="1"/>
    <col min="22" max="22" width="20" style="1" customWidth="1"/>
    <col min="23" max="16384" width="9.21875" style="8"/>
  </cols>
  <sheetData>
    <row r="1" spans="1:22">
      <c r="A1" s="1" t="s">
        <v>108</v>
      </c>
      <c r="B1" s="1" t="str">
        <f>Info!C2</f>
        <v>კრედო</v>
      </c>
    </row>
    <row r="2" spans="1:22">
      <c r="A2" s="1" t="s">
        <v>109</v>
      </c>
      <c r="B2" s="346">
        <f>'1. key ratios'!B2</f>
        <v>45199</v>
      </c>
    </row>
    <row r="4" spans="1:22" ht="28.2" thickBot="1">
      <c r="A4" s="1" t="s">
        <v>260</v>
      </c>
      <c r="B4" s="202" t="s">
        <v>295</v>
      </c>
      <c r="V4" s="140" t="s">
        <v>87</v>
      </c>
    </row>
    <row r="5" spans="1:22">
      <c r="A5" s="54"/>
      <c r="B5" s="55"/>
      <c r="C5" s="850" t="s">
        <v>116</v>
      </c>
      <c r="D5" s="851"/>
      <c r="E5" s="851"/>
      <c r="F5" s="851"/>
      <c r="G5" s="851"/>
      <c r="H5" s="851"/>
      <c r="I5" s="851"/>
      <c r="J5" s="851"/>
      <c r="K5" s="851"/>
      <c r="L5" s="852"/>
      <c r="M5" s="850" t="s">
        <v>117</v>
      </c>
      <c r="N5" s="851"/>
      <c r="O5" s="851"/>
      <c r="P5" s="851"/>
      <c r="Q5" s="851"/>
      <c r="R5" s="851"/>
      <c r="S5" s="852"/>
      <c r="T5" s="855" t="s">
        <v>293</v>
      </c>
      <c r="U5" s="855" t="s">
        <v>292</v>
      </c>
      <c r="V5" s="853" t="s">
        <v>118</v>
      </c>
    </row>
    <row r="6" spans="1:22" s="31" customFormat="1" ht="138">
      <c r="A6" s="71"/>
      <c r="B6" s="116"/>
      <c r="C6" s="52" t="s">
        <v>119</v>
      </c>
      <c r="D6" s="51" t="s">
        <v>120</v>
      </c>
      <c r="E6" s="49" t="s">
        <v>121</v>
      </c>
      <c r="F6" s="49" t="s">
        <v>287</v>
      </c>
      <c r="G6" s="51" t="s">
        <v>122</v>
      </c>
      <c r="H6" s="51" t="s">
        <v>123</v>
      </c>
      <c r="I6" s="51" t="s">
        <v>124</v>
      </c>
      <c r="J6" s="51" t="s">
        <v>153</v>
      </c>
      <c r="K6" s="51" t="s">
        <v>125</v>
      </c>
      <c r="L6" s="53" t="s">
        <v>126</v>
      </c>
      <c r="M6" s="52" t="s">
        <v>127</v>
      </c>
      <c r="N6" s="51" t="s">
        <v>128</v>
      </c>
      <c r="O6" s="51" t="s">
        <v>129</v>
      </c>
      <c r="P6" s="51" t="s">
        <v>130</v>
      </c>
      <c r="Q6" s="51" t="s">
        <v>131</v>
      </c>
      <c r="R6" s="51" t="s">
        <v>132</v>
      </c>
      <c r="S6" s="53" t="s">
        <v>133</v>
      </c>
      <c r="T6" s="856"/>
      <c r="U6" s="856"/>
      <c r="V6" s="854"/>
    </row>
    <row r="7" spans="1:22">
      <c r="A7" s="97">
        <v>1</v>
      </c>
      <c r="B7" s="96" t="s">
        <v>134</v>
      </c>
      <c r="C7" s="181"/>
      <c r="D7" s="179"/>
      <c r="E7" s="179"/>
      <c r="F7" s="179"/>
      <c r="G7" s="179"/>
      <c r="H7" s="179"/>
      <c r="I7" s="179"/>
      <c r="J7" s="179"/>
      <c r="K7" s="179"/>
      <c r="L7" s="182"/>
      <c r="M7" s="181"/>
      <c r="N7" s="179"/>
      <c r="O7" s="179"/>
      <c r="P7" s="179"/>
      <c r="Q7" s="179"/>
      <c r="R7" s="179"/>
      <c r="S7" s="182"/>
      <c r="T7" s="199"/>
      <c r="U7" s="198"/>
      <c r="V7" s="183">
        <f>SUM(C7:S7)</f>
        <v>0</v>
      </c>
    </row>
    <row r="8" spans="1:22">
      <c r="A8" s="97">
        <v>2</v>
      </c>
      <c r="B8" s="96" t="s">
        <v>135</v>
      </c>
      <c r="C8" s="181"/>
      <c r="D8" s="179"/>
      <c r="E8" s="179"/>
      <c r="F8" s="179"/>
      <c r="G8" s="179"/>
      <c r="H8" s="179"/>
      <c r="I8" s="179"/>
      <c r="J8" s="179"/>
      <c r="K8" s="179"/>
      <c r="L8" s="182"/>
      <c r="M8" s="181"/>
      <c r="N8" s="179"/>
      <c r="O8" s="179"/>
      <c r="P8" s="179"/>
      <c r="Q8" s="179"/>
      <c r="R8" s="179"/>
      <c r="S8" s="182"/>
      <c r="T8" s="198"/>
      <c r="U8" s="198"/>
      <c r="V8" s="183">
        <f t="shared" ref="V8:V20" si="0">SUM(C8:S8)</f>
        <v>0</v>
      </c>
    </row>
    <row r="9" spans="1:22">
      <c r="A9" s="97">
        <v>3</v>
      </c>
      <c r="B9" s="96" t="s">
        <v>136</v>
      </c>
      <c r="C9" s="181"/>
      <c r="D9" s="179"/>
      <c r="E9" s="179"/>
      <c r="F9" s="179"/>
      <c r="G9" s="179"/>
      <c r="H9" s="179"/>
      <c r="I9" s="179"/>
      <c r="J9" s="179"/>
      <c r="K9" s="179"/>
      <c r="L9" s="182"/>
      <c r="M9" s="181"/>
      <c r="N9" s="179"/>
      <c r="O9" s="179"/>
      <c r="P9" s="179"/>
      <c r="Q9" s="179"/>
      <c r="R9" s="179"/>
      <c r="S9" s="182"/>
      <c r="T9" s="198"/>
      <c r="U9" s="198"/>
      <c r="V9" s="183">
        <f>SUM(C9:S9)</f>
        <v>0</v>
      </c>
    </row>
    <row r="10" spans="1:22">
      <c r="A10" s="97">
        <v>4</v>
      </c>
      <c r="B10" s="96" t="s">
        <v>137</v>
      </c>
      <c r="C10" s="181"/>
      <c r="D10" s="179"/>
      <c r="E10" s="179"/>
      <c r="F10" s="179"/>
      <c r="G10" s="179"/>
      <c r="H10" s="179"/>
      <c r="I10" s="179"/>
      <c r="J10" s="179"/>
      <c r="K10" s="179"/>
      <c r="L10" s="182"/>
      <c r="M10" s="181"/>
      <c r="N10" s="179"/>
      <c r="O10" s="179"/>
      <c r="P10" s="179"/>
      <c r="Q10" s="179"/>
      <c r="R10" s="179"/>
      <c r="S10" s="182"/>
      <c r="T10" s="198"/>
      <c r="U10" s="198"/>
      <c r="V10" s="183">
        <f t="shared" si="0"/>
        <v>0</v>
      </c>
    </row>
    <row r="11" spans="1:22">
      <c r="A11" s="97">
        <v>5</v>
      </c>
      <c r="B11" s="96" t="s">
        <v>990</v>
      </c>
      <c r="C11" s="181"/>
      <c r="D11" s="179"/>
      <c r="E11" s="179"/>
      <c r="F11" s="179"/>
      <c r="G11" s="179"/>
      <c r="H11" s="179"/>
      <c r="I11" s="179"/>
      <c r="J11" s="179"/>
      <c r="K11" s="179"/>
      <c r="L11" s="182"/>
      <c r="M11" s="181"/>
      <c r="N11" s="179"/>
      <c r="O11" s="179"/>
      <c r="P11" s="179"/>
      <c r="Q11" s="179"/>
      <c r="R11" s="179"/>
      <c r="S11" s="182"/>
      <c r="T11" s="198"/>
      <c r="U11" s="198"/>
      <c r="V11" s="183">
        <f t="shared" si="0"/>
        <v>0</v>
      </c>
    </row>
    <row r="12" spans="1:22">
      <c r="A12" s="97">
        <v>6</v>
      </c>
      <c r="B12" s="96" t="s">
        <v>138</v>
      </c>
      <c r="C12" s="181"/>
      <c r="D12" s="179"/>
      <c r="E12" s="179"/>
      <c r="F12" s="179"/>
      <c r="G12" s="179"/>
      <c r="H12" s="179"/>
      <c r="I12" s="179"/>
      <c r="J12" s="179"/>
      <c r="K12" s="179"/>
      <c r="L12" s="182"/>
      <c r="M12" s="181"/>
      <c r="N12" s="179"/>
      <c r="O12" s="179"/>
      <c r="P12" s="179"/>
      <c r="Q12" s="179"/>
      <c r="R12" s="179"/>
      <c r="S12" s="182"/>
      <c r="T12" s="198"/>
      <c r="U12" s="198"/>
      <c r="V12" s="183">
        <f t="shared" si="0"/>
        <v>0</v>
      </c>
    </row>
    <row r="13" spans="1:22">
      <c r="A13" s="97">
        <v>7</v>
      </c>
      <c r="B13" s="96" t="s">
        <v>71</v>
      </c>
      <c r="C13" s="181"/>
      <c r="D13" s="179"/>
      <c r="E13" s="179"/>
      <c r="F13" s="179"/>
      <c r="G13" s="179"/>
      <c r="H13" s="179"/>
      <c r="I13" s="179"/>
      <c r="J13" s="179"/>
      <c r="K13" s="179"/>
      <c r="L13" s="182"/>
      <c r="M13" s="181"/>
      <c r="N13" s="179"/>
      <c r="O13" s="179"/>
      <c r="P13" s="179"/>
      <c r="Q13" s="179"/>
      <c r="R13" s="179"/>
      <c r="S13" s="182"/>
      <c r="T13" s="198"/>
      <c r="U13" s="198"/>
      <c r="V13" s="183">
        <f t="shared" si="0"/>
        <v>0</v>
      </c>
    </row>
    <row r="14" spans="1:22">
      <c r="A14" s="97">
        <v>8</v>
      </c>
      <c r="B14" s="96" t="s">
        <v>72</v>
      </c>
      <c r="C14" s="181"/>
      <c r="D14" s="179"/>
      <c r="E14" s="179"/>
      <c r="F14" s="179"/>
      <c r="G14" s="179"/>
      <c r="H14" s="179"/>
      <c r="I14" s="179"/>
      <c r="J14" s="179"/>
      <c r="K14" s="179"/>
      <c r="L14" s="182"/>
      <c r="M14" s="181"/>
      <c r="N14" s="179"/>
      <c r="O14" s="179"/>
      <c r="P14" s="179"/>
      <c r="Q14" s="179"/>
      <c r="R14" s="179"/>
      <c r="S14" s="182"/>
      <c r="T14" s="198"/>
      <c r="U14" s="198"/>
      <c r="V14" s="183">
        <f t="shared" si="0"/>
        <v>0</v>
      </c>
    </row>
    <row r="15" spans="1:22">
      <c r="A15" s="97">
        <v>9</v>
      </c>
      <c r="B15" s="96" t="s">
        <v>991</v>
      </c>
      <c r="C15" s="181"/>
      <c r="D15" s="179"/>
      <c r="E15" s="179"/>
      <c r="F15" s="179"/>
      <c r="G15" s="179"/>
      <c r="H15" s="179"/>
      <c r="I15" s="179"/>
      <c r="J15" s="179"/>
      <c r="K15" s="179"/>
      <c r="L15" s="182"/>
      <c r="M15" s="181"/>
      <c r="N15" s="179"/>
      <c r="O15" s="179"/>
      <c r="P15" s="179"/>
      <c r="Q15" s="179"/>
      <c r="R15" s="179"/>
      <c r="S15" s="182"/>
      <c r="T15" s="198"/>
      <c r="U15" s="198"/>
      <c r="V15" s="183">
        <f t="shared" si="0"/>
        <v>0</v>
      </c>
    </row>
    <row r="16" spans="1:22">
      <c r="A16" s="97">
        <v>10</v>
      </c>
      <c r="B16" s="96" t="s">
        <v>67</v>
      </c>
      <c r="C16" s="181"/>
      <c r="D16" s="179"/>
      <c r="E16" s="179"/>
      <c r="F16" s="179"/>
      <c r="G16" s="179"/>
      <c r="H16" s="179"/>
      <c r="I16" s="179"/>
      <c r="J16" s="179"/>
      <c r="K16" s="179"/>
      <c r="L16" s="182"/>
      <c r="M16" s="181"/>
      <c r="N16" s="179"/>
      <c r="O16" s="179"/>
      <c r="P16" s="179"/>
      <c r="Q16" s="179"/>
      <c r="R16" s="179"/>
      <c r="S16" s="182"/>
      <c r="T16" s="198"/>
      <c r="U16" s="198"/>
      <c r="V16" s="183">
        <f t="shared" si="0"/>
        <v>0</v>
      </c>
    </row>
    <row r="17" spans="1:22">
      <c r="A17" s="97">
        <v>11</v>
      </c>
      <c r="B17" s="96" t="s">
        <v>68</v>
      </c>
      <c r="C17" s="181"/>
      <c r="D17" s="179"/>
      <c r="E17" s="179"/>
      <c r="F17" s="179"/>
      <c r="G17" s="179"/>
      <c r="H17" s="179"/>
      <c r="I17" s="179"/>
      <c r="J17" s="179"/>
      <c r="K17" s="179"/>
      <c r="L17" s="182"/>
      <c r="M17" s="181"/>
      <c r="N17" s="179"/>
      <c r="O17" s="179"/>
      <c r="P17" s="179"/>
      <c r="Q17" s="179"/>
      <c r="R17" s="179"/>
      <c r="S17" s="182"/>
      <c r="T17" s="198"/>
      <c r="U17" s="198"/>
      <c r="V17" s="183">
        <f t="shared" si="0"/>
        <v>0</v>
      </c>
    </row>
    <row r="18" spans="1:22">
      <c r="A18" s="97">
        <v>12</v>
      </c>
      <c r="B18" s="96" t="s">
        <v>69</v>
      </c>
      <c r="C18" s="181"/>
      <c r="D18" s="179"/>
      <c r="E18" s="179"/>
      <c r="F18" s="179"/>
      <c r="G18" s="179"/>
      <c r="H18" s="179"/>
      <c r="I18" s="179"/>
      <c r="J18" s="179"/>
      <c r="K18" s="179"/>
      <c r="L18" s="182"/>
      <c r="M18" s="181"/>
      <c r="N18" s="179"/>
      <c r="O18" s="179"/>
      <c r="P18" s="179"/>
      <c r="Q18" s="179"/>
      <c r="R18" s="179"/>
      <c r="S18" s="182"/>
      <c r="T18" s="198"/>
      <c r="U18" s="198"/>
      <c r="V18" s="183">
        <f t="shared" si="0"/>
        <v>0</v>
      </c>
    </row>
    <row r="19" spans="1:22">
      <c r="A19" s="97">
        <v>13</v>
      </c>
      <c r="B19" s="96" t="s">
        <v>70</v>
      </c>
      <c r="C19" s="181"/>
      <c r="D19" s="179"/>
      <c r="E19" s="179"/>
      <c r="F19" s="179"/>
      <c r="G19" s="179"/>
      <c r="H19" s="179"/>
      <c r="I19" s="179"/>
      <c r="J19" s="179"/>
      <c r="K19" s="179"/>
      <c r="L19" s="182"/>
      <c r="M19" s="181"/>
      <c r="N19" s="179"/>
      <c r="O19" s="179"/>
      <c r="P19" s="179"/>
      <c r="Q19" s="179"/>
      <c r="R19" s="179"/>
      <c r="S19" s="182"/>
      <c r="T19" s="198"/>
      <c r="U19" s="198"/>
      <c r="V19" s="183">
        <f t="shared" si="0"/>
        <v>0</v>
      </c>
    </row>
    <row r="20" spans="1:22">
      <c r="A20" s="97">
        <v>14</v>
      </c>
      <c r="B20" s="96" t="s">
        <v>154</v>
      </c>
      <c r="C20" s="181"/>
      <c r="D20" s="179"/>
      <c r="E20" s="179"/>
      <c r="F20" s="179"/>
      <c r="G20" s="179"/>
      <c r="H20" s="179"/>
      <c r="I20" s="179"/>
      <c r="J20" s="179"/>
      <c r="K20" s="179"/>
      <c r="L20" s="182"/>
      <c r="M20" s="181"/>
      <c r="N20" s="179"/>
      <c r="O20" s="179"/>
      <c r="P20" s="179"/>
      <c r="Q20" s="179"/>
      <c r="R20" s="179"/>
      <c r="S20" s="182"/>
      <c r="T20" s="198"/>
      <c r="U20" s="198"/>
      <c r="V20" s="183">
        <f t="shared" si="0"/>
        <v>0</v>
      </c>
    </row>
    <row r="21" spans="1:22" ht="14.4" thickBot="1">
      <c r="A21" s="56"/>
      <c r="B21" s="57" t="s">
        <v>66</v>
      </c>
      <c r="C21" s="184">
        <f>SUM(C7:C20)</f>
        <v>0</v>
      </c>
      <c r="D21" s="180">
        <f t="shared" ref="D21:V21" si="1">SUM(D7:D20)</f>
        <v>0</v>
      </c>
      <c r="E21" s="180">
        <f t="shared" si="1"/>
        <v>0</v>
      </c>
      <c r="F21" s="180">
        <f t="shared" si="1"/>
        <v>0</v>
      </c>
      <c r="G21" s="180">
        <f t="shared" si="1"/>
        <v>0</v>
      </c>
      <c r="H21" s="180">
        <f t="shared" si="1"/>
        <v>0</v>
      </c>
      <c r="I21" s="180">
        <f t="shared" si="1"/>
        <v>0</v>
      </c>
      <c r="J21" s="180">
        <f t="shared" si="1"/>
        <v>0</v>
      </c>
      <c r="K21" s="180">
        <f t="shared" si="1"/>
        <v>0</v>
      </c>
      <c r="L21" s="185">
        <f t="shared" si="1"/>
        <v>0</v>
      </c>
      <c r="M21" s="184">
        <f t="shared" si="1"/>
        <v>0</v>
      </c>
      <c r="N21" s="180">
        <f t="shared" si="1"/>
        <v>0</v>
      </c>
      <c r="O21" s="180">
        <f t="shared" si="1"/>
        <v>0</v>
      </c>
      <c r="P21" s="180">
        <f t="shared" si="1"/>
        <v>0</v>
      </c>
      <c r="Q21" s="180">
        <f t="shared" si="1"/>
        <v>0</v>
      </c>
      <c r="R21" s="180">
        <f t="shared" si="1"/>
        <v>0</v>
      </c>
      <c r="S21" s="185">
        <f t="shared" si="1"/>
        <v>0</v>
      </c>
      <c r="T21" s="185">
        <f>SUM(T7:T20)</f>
        <v>0</v>
      </c>
      <c r="U21" s="185">
        <f t="shared" si="1"/>
        <v>0</v>
      </c>
      <c r="V21" s="186">
        <f t="shared" si="1"/>
        <v>0</v>
      </c>
    </row>
    <row r="24" spans="1:22">
      <c r="C24" s="34"/>
      <c r="D24" s="34"/>
      <c r="E24" s="34"/>
    </row>
    <row r="25" spans="1:22">
      <c r="A25" s="30"/>
      <c r="B25" s="30"/>
      <c r="D25" s="34"/>
      <c r="E25" s="34"/>
    </row>
    <row r="26" spans="1:22">
      <c r="A26" s="30"/>
      <c r="B26" s="50"/>
      <c r="D26" s="34"/>
      <c r="E26" s="34"/>
    </row>
    <row r="27" spans="1:22">
      <c r="A27" s="30"/>
      <c r="B27" s="30"/>
      <c r="D27" s="34"/>
      <c r="E27" s="34"/>
    </row>
    <row r="28" spans="1:22">
      <c r="A28" s="30"/>
      <c r="B28" s="50"/>
      <c r="D28" s="34"/>
      <c r="E28" s="3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21875" defaultRowHeight="13.8"/>
  <cols>
    <col min="1" max="1" width="10.5546875" style="1" bestFit="1" customWidth="1"/>
    <col min="2" max="2" width="101.77734375" style="1" customWidth="1"/>
    <col min="3" max="3" width="13.77734375" style="1" customWidth="1"/>
    <col min="4" max="4" width="14.77734375" style="1" bestFit="1" customWidth="1"/>
    <col min="5" max="5" width="17.77734375" style="1" customWidth="1"/>
    <col min="6" max="6" width="15.77734375" style="1" customWidth="1"/>
    <col min="7" max="7" width="17.44140625" style="1" customWidth="1"/>
    <col min="8" max="8" width="15.21875" style="1" customWidth="1"/>
    <col min="9" max="16384" width="9.21875" style="8"/>
  </cols>
  <sheetData>
    <row r="1" spans="1:9">
      <c r="A1" s="1" t="s">
        <v>108</v>
      </c>
      <c r="B1" s="1" t="str">
        <f>Info!C2</f>
        <v>კრედო</v>
      </c>
    </row>
    <row r="2" spans="1:9">
      <c r="A2" s="1" t="s">
        <v>109</v>
      </c>
      <c r="B2" s="346">
        <f>'1. key ratios'!B2</f>
        <v>45199</v>
      </c>
    </row>
    <row r="4" spans="1:9" ht="14.4" thickBot="1">
      <c r="A4" s="1" t="s">
        <v>261</v>
      </c>
      <c r="B4" s="23" t="s">
        <v>296</v>
      </c>
    </row>
    <row r="5" spans="1:9">
      <c r="A5" s="54"/>
      <c r="B5" s="94"/>
      <c r="C5" s="99" t="s">
        <v>0</v>
      </c>
      <c r="D5" s="99" t="s">
        <v>1</v>
      </c>
      <c r="E5" s="99" t="s">
        <v>2</v>
      </c>
      <c r="F5" s="99" t="s">
        <v>3</v>
      </c>
      <c r="G5" s="197" t="s">
        <v>4</v>
      </c>
      <c r="H5" s="100" t="s">
        <v>5</v>
      </c>
      <c r="I5" s="18"/>
    </row>
    <row r="6" spans="1:9" ht="15" customHeight="1">
      <c r="A6" s="93"/>
      <c r="B6" s="16"/>
      <c r="C6" s="848" t="s">
        <v>288</v>
      </c>
      <c r="D6" s="859" t="s">
        <v>309</v>
      </c>
      <c r="E6" s="860"/>
      <c r="F6" s="848" t="s">
        <v>315</v>
      </c>
      <c r="G6" s="848" t="s">
        <v>316</v>
      </c>
      <c r="H6" s="857" t="s">
        <v>290</v>
      </c>
      <c r="I6" s="18"/>
    </row>
    <row r="7" spans="1:9" ht="69">
      <c r="A7" s="93"/>
      <c r="B7" s="16"/>
      <c r="C7" s="849"/>
      <c r="D7" s="200" t="s">
        <v>291</v>
      </c>
      <c r="E7" s="200" t="s">
        <v>289</v>
      </c>
      <c r="F7" s="849"/>
      <c r="G7" s="849"/>
      <c r="H7" s="858"/>
      <c r="I7" s="18"/>
    </row>
    <row r="8" spans="1:9">
      <c r="A8" s="46">
        <v>1</v>
      </c>
      <c r="B8" s="36" t="s">
        <v>134</v>
      </c>
      <c r="C8" s="179">
        <v>148655734.55000001</v>
      </c>
      <c r="D8" s="179"/>
      <c r="E8" s="179"/>
      <c r="F8" s="179">
        <v>44022955.329999998</v>
      </c>
      <c r="G8" s="196">
        <v>44022955.329999998</v>
      </c>
      <c r="H8" s="203">
        <f t="shared" ref="H8:H21" si="0">IFERROR(G8/(C8+E8),"")</f>
        <v>0.29614031011493192</v>
      </c>
    </row>
    <row r="9" spans="1:9" ht="15" customHeight="1">
      <c r="A9" s="46">
        <v>2</v>
      </c>
      <c r="B9" s="36" t="s">
        <v>135</v>
      </c>
      <c r="C9" s="179"/>
      <c r="D9" s="179"/>
      <c r="E9" s="179"/>
      <c r="F9" s="179"/>
      <c r="G9" s="196"/>
      <c r="H9" s="203" t="str">
        <f t="shared" si="0"/>
        <v/>
      </c>
    </row>
    <row r="10" spans="1:9">
      <c r="A10" s="46">
        <v>3</v>
      </c>
      <c r="B10" s="36" t="s">
        <v>136</v>
      </c>
      <c r="C10" s="179">
        <v>26130377.539999999</v>
      </c>
      <c r="D10" s="179"/>
      <c r="E10" s="179"/>
      <c r="F10" s="798">
        <v>0</v>
      </c>
      <c r="G10" s="196">
        <v>0</v>
      </c>
      <c r="H10" s="203">
        <f t="shared" si="0"/>
        <v>0</v>
      </c>
    </row>
    <row r="11" spans="1:9">
      <c r="A11" s="46">
        <v>4</v>
      </c>
      <c r="B11" s="36" t="s">
        <v>137</v>
      </c>
      <c r="C11" s="179"/>
      <c r="D11" s="179"/>
      <c r="E11" s="179"/>
      <c r="F11" s="179"/>
      <c r="G11" s="196"/>
      <c r="H11" s="203" t="str">
        <f t="shared" si="0"/>
        <v/>
      </c>
    </row>
    <row r="12" spans="1:9">
      <c r="A12" s="46">
        <v>5</v>
      </c>
      <c r="B12" s="36" t="s">
        <v>990</v>
      </c>
      <c r="C12" s="179"/>
      <c r="D12" s="179"/>
      <c r="E12" s="179"/>
      <c r="F12" s="179"/>
      <c r="G12" s="196"/>
      <c r="H12" s="203" t="str">
        <f t="shared" si="0"/>
        <v/>
      </c>
    </row>
    <row r="13" spans="1:9">
      <c r="A13" s="46">
        <v>6</v>
      </c>
      <c r="B13" s="36" t="s">
        <v>138</v>
      </c>
      <c r="C13" s="179">
        <v>108369568.90000002</v>
      </c>
      <c r="D13" s="179"/>
      <c r="E13" s="179"/>
      <c r="F13" s="179">
        <v>32859616.842000008</v>
      </c>
      <c r="G13" s="196">
        <v>32859616.842000008</v>
      </c>
      <c r="H13" s="203">
        <f t="shared" si="0"/>
        <v>0.30321811903046153</v>
      </c>
    </row>
    <row r="14" spans="1:9">
      <c r="A14" s="46">
        <v>7</v>
      </c>
      <c r="B14" s="36" t="s">
        <v>71</v>
      </c>
      <c r="C14" s="179">
        <v>21068522.038969204</v>
      </c>
      <c r="D14" s="797">
        <v>2335579</v>
      </c>
      <c r="E14" s="179">
        <v>1167789.5</v>
      </c>
      <c r="F14" s="179">
        <v>22236311.538969204</v>
      </c>
      <c r="G14" s="196">
        <v>22236311.538969204</v>
      </c>
      <c r="H14" s="203">
        <f t="shared" si="0"/>
        <v>1</v>
      </c>
    </row>
    <row r="15" spans="1:9">
      <c r="A15" s="46">
        <v>8</v>
      </c>
      <c r="B15" s="36" t="s">
        <v>72</v>
      </c>
      <c r="C15" s="179">
        <v>1752212511.7415273</v>
      </c>
      <c r="D15" s="179">
        <v>48217748.61999999</v>
      </c>
      <c r="E15" s="179">
        <v>22478211.769999996</v>
      </c>
      <c r="F15" s="179">
        <v>1331018042.6336455</v>
      </c>
      <c r="G15" s="196">
        <v>1331018042.6336455</v>
      </c>
      <c r="H15" s="203">
        <f t="shared" si="0"/>
        <v>0.75</v>
      </c>
    </row>
    <row r="16" spans="1:9">
      <c r="A16" s="46">
        <v>9</v>
      </c>
      <c r="B16" s="36" t="s">
        <v>991</v>
      </c>
      <c r="C16" s="179">
        <v>96693984.586147726</v>
      </c>
      <c r="D16" s="179"/>
      <c r="E16" s="179"/>
      <c r="F16" s="179">
        <v>33842894.605151705</v>
      </c>
      <c r="G16" s="196">
        <v>33842894.605151705</v>
      </c>
      <c r="H16" s="203">
        <f t="shared" si="0"/>
        <v>0.35000000000000003</v>
      </c>
    </row>
    <row r="17" spans="1:8">
      <c r="A17" s="46">
        <v>10</v>
      </c>
      <c r="B17" s="36" t="s">
        <v>67</v>
      </c>
      <c r="C17" s="179">
        <v>6748504.6790290354</v>
      </c>
      <c r="D17" s="179"/>
      <c r="E17" s="179"/>
      <c r="F17" s="179">
        <v>8832767.5609226488</v>
      </c>
      <c r="G17" s="196">
        <v>8832767.5609226488</v>
      </c>
      <c r="H17" s="203">
        <f t="shared" si="0"/>
        <v>1.3088481050284304</v>
      </c>
    </row>
    <row r="18" spans="1:8">
      <c r="A18" s="46">
        <v>11</v>
      </c>
      <c r="B18" s="36" t="s">
        <v>68</v>
      </c>
      <c r="C18" s="179"/>
      <c r="D18" s="179"/>
      <c r="E18" s="179"/>
      <c r="F18" s="179"/>
      <c r="G18" s="196"/>
      <c r="H18" s="203" t="str">
        <f t="shared" si="0"/>
        <v/>
      </c>
    </row>
    <row r="19" spans="1:8">
      <c r="A19" s="46">
        <v>12</v>
      </c>
      <c r="B19" s="36" t="s">
        <v>69</v>
      </c>
      <c r="C19" s="179"/>
      <c r="D19" s="179"/>
      <c r="E19" s="179"/>
      <c r="F19" s="179"/>
      <c r="G19" s="196"/>
      <c r="H19" s="203" t="str">
        <f t="shared" si="0"/>
        <v/>
      </c>
    </row>
    <row r="20" spans="1:8">
      <c r="A20" s="46">
        <v>13</v>
      </c>
      <c r="B20" s="36" t="s">
        <v>70</v>
      </c>
      <c r="C20" s="179"/>
      <c r="D20" s="179"/>
      <c r="E20" s="179"/>
      <c r="F20" s="179"/>
      <c r="G20" s="196"/>
      <c r="H20" s="203" t="str">
        <f t="shared" si="0"/>
        <v/>
      </c>
    </row>
    <row r="21" spans="1:8">
      <c r="A21" s="46">
        <v>14</v>
      </c>
      <c r="B21" s="36" t="s">
        <v>154</v>
      </c>
      <c r="C21" s="179">
        <v>160554074.63999999</v>
      </c>
      <c r="D21" s="179"/>
      <c r="E21" s="179"/>
      <c r="F21" s="179">
        <v>79020234.160000011</v>
      </c>
      <c r="G21" s="196">
        <v>79020234.160000011</v>
      </c>
      <c r="H21" s="203">
        <f t="shared" si="0"/>
        <v>0.4921720880468588</v>
      </c>
    </row>
    <row r="22" spans="1:8" ht="14.4" thickBot="1">
      <c r="A22" s="95"/>
      <c r="B22" s="101" t="s">
        <v>66</v>
      </c>
      <c r="C22" s="180">
        <f>SUM(C8:C21)</f>
        <v>2320433278.675673</v>
      </c>
      <c r="D22" s="180">
        <f>SUM(D8:D21)</f>
        <v>50553327.61999999</v>
      </c>
      <c r="E22" s="180">
        <f>SUM(E8:E21)</f>
        <v>23646001.269999996</v>
      </c>
      <c r="F22" s="180">
        <f>SUM(F8:F21)</f>
        <v>1551832822.6706891</v>
      </c>
      <c r="G22" s="180">
        <f>SUM(G8:G21)</f>
        <v>1551832822.6706891</v>
      </c>
      <c r="H22" s="204">
        <f>G22/(C22+E22)</f>
        <v>0.66202232831760488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13" activePane="bottomRight" state="frozen"/>
      <selection pane="topRight" activeCell="C1" sqref="C1"/>
      <selection pane="bottomLeft" activeCell="A6" sqref="A6"/>
      <selection pane="bottomRight" activeCell="F23" sqref="F23:K25"/>
    </sheetView>
  </sheetViews>
  <sheetFormatPr defaultColWidth="9.21875" defaultRowHeight="13.8"/>
  <cols>
    <col min="1" max="1" width="10.5546875" style="1" bestFit="1" customWidth="1"/>
    <col min="2" max="2" width="91" style="1" customWidth="1"/>
    <col min="3" max="11" width="12.77734375" style="1" customWidth="1"/>
    <col min="12" max="16384" width="9.21875" style="1"/>
  </cols>
  <sheetData>
    <row r="1" spans="1:11">
      <c r="A1" s="1" t="s">
        <v>108</v>
      </c>
      <c r="B1" s="1" t="str">
        <f>Info!C2</f>
        <v>კრედო</v>
      </c>
    </row>
    <row r="2" spans="1:11">
      <c r="A2" s="1" t="s">
        <v>109</v>
      </c>
      <c r="B2" s="346">
        <f>'1. key ratios'!B2</f>
        <v>45199</v>
      </c>
    </row>
    <row r="4" spans="1:11" ht="14.4" thickBot="1">
      <c r="A4" s="1" t="s">
        <v>352</v>
      </c>
      <c r="B4" s="23" t="s">
        <v>351</v>
      </c>
    </row>
    <row r="5" spans="1:11" ht="30" customHeight="1">
      <c r="A5" s="864"/>
      <c r="B5" s="865"/>
      <c r="C5" s="862" t="s">
        <v>384</v>
      </c>
      <c r="D5" s="862"/>
      <c r="E5" s="862"/>
      <c r="F5" s="862" t="s">
        <v>385</v>
      </c>
      <c r="G5" s="862"/>
      <c r="H5" s="862"/>
      <c r="I5" s="862" t="s">
        <v>386</v>
      </c>
      <c r="J5" s="862"/>
      <c r="K5" s="863"/>
    </row>
    <row r="6" spans="1:11">
      <c r="A6" s="229"/>
      <c r="B6" s="230"/>
      <c r="C6" s="231" t="s">
        <v>26</v>
      </c>
      <c r="D6" s="231" t="s">
        <v>90</v>
      </c>
      <c r="E6" s="231" t="s">
        <v>66</v>
      </c>
      <c r="F6" s="231" t="s">
        <v>26</v>
      </c>
      <c r="G6" s="231" t="s">
        <v>90</v>
      </c>
      <c r="H6" s="231" t="s">
        <v>66</v>
      </c>
      <c r="I6" s="231" t="s">
        <v>26</v>
      </c>
      <c r="J6" s="231" t="s">
        <v>90</v>
      </c>
      <c r="K6" s="233" t="s">
        <v>66</v>
      </c>
    </row>
    <row r="7" spans="1:11">
      <c r="A7" s="234" t="s">
        <v>322</v>
      </c>
      <c r="B7" s="228"/>
      <c r="C7" s="228"/>
      <c r="D7" s="228"/>
      <c r="E7" s="228"/>
      <c r="F7" s="228"/>
      <c r="G7" s="228"/>
      <c r="H7" s="228"/>
      <c r="I7" s="228"/>
      <c r="J7" s="228"/>
      <c r="K7" s="235"/>
    </row>
    <row r="8" spans="1:11">
      <c r="A8" s="227">
        <v>1</v>
      </c>
      <c r="B8" s="211" t="s">
        <v>322</v>
      </c>
      <c r="C8" s="209"/>
      <c r="D8" s="209"/>
      <c r="E8" s="209"/>
      <c r="F8" s="660">
        <v>109401926.92769867</v>
      </c>
      <c r="G8" s="660">
        <v>187986138.48884356</v>
      </c>
      <c r="H8" s="661">
        <f>F8+G8</f>
        <v>297388065.41654223</v>
      </c>
      <c r="I8" s="660">
        <v>119974576.61526883</v>
      </c>
      <c r="J8" s="660">
        <v>69827132.435990766</v>
      </c>
      <c r="K8" s="662">
        <f>I8+J8</f>
        <v>189801709.05125958</v>
      </c>
    </row>
    <row r="9" spans="1:11">
      <c r="A9" s="234" t="s">
        <v>323</v>
      </c>
      <c r="B9" s="228"/>
      <c r="C9" s="228"/>
      <c r="D9" s="228"/>
      <c r="E9" s="228"/>
      <c r="F9" s="228"/>
      <c r="G9" s="228"/>
      <c r="H9" s="228"/>
      <c r="I9" s="228"/>
      <c r="J9" s="228"/>
      <c r="K9" s="235"/>
    </row>
    <row r="10" spans="1:11">
      <c r="A10" s="236">
        <v>2</v>
      </c>
      <c r="B10" s="212" t="s">
        <v>324</v>
      </c>
      <c r="C10" s="365">
        <v>209238702.94099459</v>
      </c>
      <c r="D10" s="663">
        <v>197504358.74426034</v>
      </c>
      <c r="E10" s="664">
        <f>C10+D10</f>
        <v>406743061.68525493</v>
      </c>
      <c r="F10" s="663">
        <v>51675718.294570267</v>
      </c>
      <c r="G10" s="663">
        <v>51464719.694607139</v>
      </c>
      <c r="H10" s="664">
        <f>F10+G10</f>
        <v>103140437.98917741</v>
      </c>
      <c r="I10" s="663">
        <v>103140437.98917741</v>
      </c>
      <c r="J10" s="663">
        <v>10461935.147049731</v>
      </c>
      <c r="K10" s="665">
        <f>I10+J10</f>
        <v>113602373.13622713</v>
      </c>
    </row>
    <row r="11" spans="1:11">
      <c r="A11" s="236">
        <v>3</v>
      </c>
      <c r="B11" s="212" t="s">
        <v>325</v>
      </c>
      <c r="C11" s="365">
        <v>140517667.52546853</v>
      </c>
      <c r="D11" s="663">
        <v>12628483.642791858</v>
      </c>
      <c r="E11" s="664">
        <f t="shared" ref="E11:E15" si="0">C11+D11</f>
        <v>153146151.1682604</v>
      </c>
      <c r="F11" s="663">
        <v>65813964.410270371</v>
      </c>
      <c r="G11" s="663">
        <v>5198687.6822787067</v>
      </c>
      <c r="H11" s="664">
        <f t="shared" ref="H11:H15" si="1">F11+G11</f>
        <v>71012652.092549071</v>
      </c>
      <c r="I11" s="663">
        <v>71012652.092549071</v>
      </c>
      <c r="J11" s="663">
        <v>61865189.919212766</v>
      </c>
      <c r="K11" s="665">
        <f t="shared" ref="K11:K15" si="2">I11+J11</f>
        <v>132877842.01176184</v>
      </c>
    </row>
    <row r="12" spans="1:11">
      <c r="A12" s="236">
        <v>4</v>
      </c>
      <c r="B12" s="212" t="s">
        <v>326</v>
      </c>
      <c r="C12" s="365">
        <v>47848387.096774191</v>
      </c>
      <c r="D12" s="663">
        <v>0</v>
      </c>
      <c r="E12" s="664">
        <f t="shared" si="0"/>
        <v>47848387.096774191</v>
      </c>
      <c r="F12" s="663">
        <v>0</v>
      </c>
      <c r="G12" s="663">
        <v>0</v>
      </c>
      <c r="H12" s="664">
        <f t="shared" si="1"/>
        <v>0</v>
      </c>
      <c r="I12" s="663">
        <v>0</v>
      </c>
      <c r="J12" s="663">
        <v>0</v>
      </c>
      <c r="K12" s="665">
        <f t="shared" si="2"/>
        <v>0</v>
      </c>
    </row>
    <row r="13" spans="1:11">
      <c r="A13" s="236">
        <v>5</v>
      </c>
      <c r="B13" s="212" t="s">
        <v>327</v>
      </c>
      <c r="C13" s="365">
        <v>22423329.148413088</v>
      </c>
      <c r="D13" s="663">
        <v>8893579.4559408613</v>
      </c>
      <c r="E13" s="664">
        <f t="shared" si="0"/>
        <v>31316908.604353949</v>
      </c>
      <c r="F13" s="663">
        <v>6726998.7445239266</v>
      </c>
      <c r="G13" s="663">
        <v>2668073.836782258</v>
      </c>
      <c r="H13" s="664">
        <f t="shared" si="1"/>
        <v>9395072.5813061856</v>
      </c>
      <c r="I13" s="663">
        <v>9395072.5813061856</v>
      </c>
      <c r="J13" s="663">
        <v>1121166.4574206544</v>
      </c>
      <c r="K13" s="665">
        <f t="shared" si="2"/>
        <v>10516239.03872684</v>
      </c>
    </row>
    <row r="14" spans="1:11">
      <c r="A14" s="236">
        <v>6</v>
      </c>
      <c r="B14" s="212" t="s">
        <v>342</v>
      </c>
      <c r="C14" s="365"/>
      <c r="D14" s="663"/>
      <c r="E14" s="664">
        <f t="shared" si="0"/>
        <v>0</v>
      </c>
      <c r="F14" s="663">
        <v>0</v>
      </c>
      <c r="G14" s="663">
        <v>0</v>
      </c>
      <c r="H14" s="664">
        <f t="shared" si="1"/>
        <v>0</v>
      </c>
      <c r="I14" s="663"/>
      <c r="J14" s="663">
        <v>0</v>
      </c>
      <c r="K14" s="665">
        <f t="shared" si="2"/>
        <v>0</v>
      </c>
    </row>
    <row r="15" spans="1:11">
      <c r="A15" s="236">
        <v>7</v>
      </c>
      <c r="B15" s="212" t="s">
        <v>329</v>
      </c>
      <c r="C15" s="365">
        <v>6266191.8109843833</v>
      </c>
      <c r="D15" s="663">
        <v>4465576.0575734759</v>
      </c>
      <c r="E15" s="664">
        <f t="shared" si="0"/>
        <v>10731767.868557859</v>
      </c>
      <c r="F15" s="663">
        <v>6266191.8109843833</v>
      </c>
      <c r="G15" s="663">
        <v>4465576.0575734759</v>
      </c>
      <c r="H15" s="664">
        <f t="shared" si="1"/>
        <v>10731767.868557859</v>
      </c>
      <c r="I15" s="663">
        <v>10731767.868557859</v>
      </c>
      <c r="J15" s="663">
        <v>6266191.8109843833</v>
      </c>
      <c r="K15" s="665">
        <f t="shared" si="2"/>
        <v>16997959.679542243</v>
      </c>
    </row>
    <row r="16" spans="1:11">
      <c r="A16" s="236">
        <v>8</v>
      </c>
      <c r="B16" s="214" t="s">
        <v>330</v>
      </c>
      <c r="C16" s="666">
        <f t="shared" ref="C16:K16" si="3">SUM(C10:C15)</f>
        <v>426294278.52263474</v>
      </c>
      <c r="D16" s="666">
        <f t="shared" si="3"/>
        <v>223491997.90056655</v>
      </c>
      <c r="E16" s="666">
        <f t="shared" si="3"/>
        <v>649786276.42320132</v>
      </c>
      <c r="F16" s="666">
        <f t="shared" si="3"/>
        <v>130482873.26034895</v>
      </c>
      <c r="G16" s="666">
        <f t="shared" si="3"/>
        <v>63797057.271241583</v>
      </c>
      <c r="H16" s="666">
        <f t="shared" si="3"/>
        <v>194279930.53159055</v>
      </c>
      <c r="I16" s="666">
        <f t="shared" si="3"/>
        <v>194279930.53159055</v>
      </c>
      <c r="J16" s="666">
        <f t="shared" si="3"/>
        <v>79714483.334667534</v>
      </c>
      <c r="K16" s="666">
        <f t="shared" si="3"/>
        <v>273994413.86625803</v>
      </c>
    </row>
    <row r="17" spans="1:11">
      <c r="A17" s="234" t="s">
        <v>331</v>
      </c>
      <c r="B17" s="228"/>
      <c r="C17" s="228"/>
      <c r="D17" s="228"/>
      <c r="E17" s="228"/>
      <c r="F17" s="228"/>
      <c r="G17" s="228"/>
      <c r="H17" s="228"/>
      <c r="I17" s="228"/>
      <c r="J17" s="228"/>
      <c r="K17" s="235"/>
    </row>
    <row r="18" spans="1:11">
      <c r="A18" s="236">
        <v>9</v>
      </c>
      <c r="B18" s="212" t="s">
        <v>332</v>
      </c>
      <c r="C18" s="212"/>
      <c r="D18" s="213"/>
      <c r="E18" s="213"/>
      <c r="F18" s="213"/>
      <c r="G18" s="213"/>
      <c r="H18" s="213"/>
      <c r="I18" s="213"/>
      <c r="J18" s="213"/>
      <c r="K18" s="237"/>
    </row>
    <row r="19" spans="1:11">
      <c r="A19" s="236">
        <v>10</v>
      </c>
      <c r="B19" s="212" t="s">
        <v>333</v>
      </c>
      <c r="C19" s="365">
        <v>91669020.368092299</v>
      </c>
      <c r="D19" s="663">
        <v>3607026.6943432712</v>
      </c>
      <c r="E19" s="663">
        <f>C19+D19</f>
        <v>95276047.062435567</v>
      </c>
      <c r="F19" s="663">
        <v>45834510.184046149</v>
      </c>
      <c r="G19" s="663">
        <v>1803513.3471716356</v>
      </c>
      <c r="H19" s="663">
        <f>F19+G19</f>
        <v>47638023.531217784</v>
      </c>
      <c r="I19" s="663">
        <v>47638023.531217784</v>
      </c>
      <c r="J19" s="663">
        <v>85657725.050171345</v>
      </c>
      <c r="K19" s="663">
        <f>I19+J19</f>
        <v>133295748.58138913</v>
      </c>
    </row>
    <row r="20" spans="1:11">
      <c r="A20" s="236">
        <v>11</v>
      </c>
      <c r="B20" s="212" t="s">
        <v>334</v>
      </c>
      <c r="C20" s="212"/>
      <c r="D20" s="213"/>
      <c r="E20" s="213"/>
      <c r="F20" s="213"/>
      <c r="G20" s="213"/>
      <c r="H20" s="213"/>
      <c r="I20" s="213"/>
      <c r="J20" s="213"/>
      <c r="K20" s="237"/>
    </row>
    <row r="21" spans="1:11" ht="14.4" thickBot="1">
      <c r="A21" s="148">
        <v>12</v>
      </c>
      <c r="B21" s="238" t="s">
        <v>335</v>
      </c>
      <c r="C21" s="667">
        <f>SUM(C18:C20)</f>
        <v>91669020.368092299</v>
      </c>
      <c r="D21" s="667">
        <f t="shared" ref="D21:K21" si="4">SUM(D18:D20)</f>
        <v>3607026.6943432712</v>
      </c>
      <c r="E21" s="667">
        <f t="shared" si="4"/>
        <v>95276047.062435567</v>
      </c>
      <c r="F21" s="667">
        <f t="shared" si="4"/>
        <v>45834510.184046149</v>
      </c>
      <c r="G21" s="667">
        <f t="shared" si="4"/>
        <v>1803513.3471716356</v>
      </c>
      <c r="H21" s="667">
        <f t="shared" si="4"/>
        <v>47638023.531217784</v>
      </c>
      <c r="I21" s="667">
        <f t="shared" si="4"/>
        <v>47638023.531217784</v>
      </c>
      <c r="J21" s="667">
        <f t="shared" si="4"/>
        <v>85657725.050171345</v>
      </c>
      <c r="K21" s="667">
        <f t="shared" si="4"/>
        <v>133295748.58138913</v>
      </c>
    </row>
    <row r="22" spans="1:11" ht="38.25" customHeight="1" thickBot="1">
      <c r="A22" s="225"/>
      <c r="B22" s="226"/>
      <c r="C22" s="226"/>
      <c r="D22" s="226"/>
      <c r="E22" s="226"/>
      <c r="F22" s="861" t="s">
        <v>336</v>
      </c>
      <c r="G22" s="862"/>
      <c r="H22" s="862"/>
      <c r="I22" s="861" t="s">
        <v>337</v>
      </c>
      <c r="J22" s="862"/>
      <c r="K22" s="863"/>
    </row>
    <row r="23" spans="1:11" ht="14.4" thickBot="1">
      <c r="A23" s="218">
        <v>13</v>
      </c>
      <c r="B23" s="215" t="s">
        <v>322</v>
      </c>
      <c r="C23" s="224"/>
      <c r="D23" s="224"/>
      <c r="E23" s="224"/>
      <c r="F23" s="668">
        <f>F8</f>
        <v>109401926.92769867</v>
      </c>
      <c r="G23" s="668">
        <f>G8</f>
        <v>187986138.48884356</v>
      </c>
      <c r="H23" s="669">
        <f>F23+G23</f>
        <v>297388065.41654223</v>
      </c>
      <c r="I23" s="668">
        <f>I8</f>
        <v>119974576.61526883</v>
      </c>
      <c r="J23" s="668">
        <f>J8</f>
        <v>69827132.435990766</v>
      </c>
      <c r="K23" s="670">
        <f>I23+J23</f>
        <v>189801709.05125958</v>
      </c>
    </row>
    <row r="24" spans="1:11" ht="14.4" thickBot="1">
      <c r="A24" s="219">
        <v>14</v>
      </c>
      <c r="B24" s="216" t="s">
        <v>338</v>
      </c>
      <c r="C24" s="239"/>
      <c r="D24" s="222"/>
      <c r="E24" s="223"/>
      <c r="F24" s="671">
        <f>MAX(F16-F21,F16*0.25)</f>
        <v>84648363.076302797</v>
      </c>
      <c r="G24" s="671">
        <f>MAX(G16-G21,G16*0.25)</f>
        <v>61993543.924069948</v>
      </c>
      <c r="H24" s="669">
        <f>F24+G24</f>
        <v>146641907.00037274</v>
      </c>
      <c r="I24" s="671">
        <f>MAX(I16-I21,I16*0.25)</f>
        <v>146641907.00037277</v>
      </c>
      <c r="J24" s="671">
        <f>MAX(J16-J21,J16*0.25)</f>
        <v>19928620.833666883</v>
      </c>
      <c r="K24" s="670">
        <f>I24+J24</f>
        <v>166570527.83403966</v>
      </c>
    </row>
    <row r="25" spans="1:11" ht="14.4" thickBot="1">
      <c r="A25" s="220">
        <v>15</v>
      </c>
      <c r="B25" s="217" t="s">
        <v>339</v>
      </c>
      <c r="C25" s="221"/>
      <c r="D25" s="221"/>
      <c r="E25" s="221"/>
      <c r="F25" s="672">
        <f t="shared" ref="F25:K25" si="5">F23/F24</f>
        <v>1.2924281457053433</v>
      </c>
      <c r="G25" s="672">
        <f t="shared" si="5"/>
        <v>3.0323502511663163</v>
      </c>
      <c r="H25" s="672">
        <f t="shared" si="5"/>
        <v>2.0279882572434516</v>
      </c>
      <c r="I25" s="672">
        <f t="shared" si="5"/>
        <v>0.81814659308108872</v>
      </c>
      <c r="J25" s="672">
        <f t="shared" si="5"/>
        <v>3.5038617583624583</v>
      </c>
      <c r="K25" s="673">
        <f t="shared" si="5"/>
        <v>1.1394675367803722</v>
      </c>
    </row>
    <row r="28" spans="1:11" ht="41.4">
      <c r="B28" s="17" t="s">
        <v>383</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90" zoomScaleNormal="90" workbookViewId="0">
      <pane xSplit="1" ySplit="5" topLeftCell="B6" activePane="bottomRight" state="frozen"/>
      <selection pane="topRight" activeCell="B1" sqref="B1"/>
      <selection pane="bottomLeft" activeCell="A5" sqref="A5"/>
      <selection pane="bottomRight" activeCell="K8" sqref="K8"/>
    </sheetView>
  </sheetViews>
  <sheetFormatPr defaultColWidth="9.21875" defaultRowHeight="13.8"/>
  <cols>
    <col min="1" max="1" width="10.5546875" style="32" bestFit="1" customWidth="1"/>
    <col min="2" max="2" width="95" style="32" customWidth="1"/>
    <col min="3" max="3" width="15.33203125" style="32" customWidth="1"/>
    <col min="4" max="4" width="10" style="32" bestFit="1" customWidth="1"/>
    <col min="5" max="5" width="18.21875" style="32" bestFit="1" customWidth="1"/>
    <col min="6" max="13" width="10.77734375" style="32" customWidth="1"/>
    <col min="14" max="14" width="31" style="32" bestFit="1" customWidth="1"/>
    <col min="15" max="16384" width="9.21875" style="8"/>
  </cols>
  <sheetData>
    <row r="1" spans="1:14">
      <c r="A1" s="1" t="s">
        <v>108</v>
      </c>
      <c r="B1" s="32" t="str">
        <f>Info!C2</f>
        <v>კრედო</v>
      </c>
    </row>
    <row r="2" spans="1:14" ht="14.25" customHeight="1">
      <c r="A2" s="32" t="s">
        <v>109</v>
      </c>
      <c r="B2" s="346">
        <f>'1. key ratios'!B2</f>
        <v>45199</v>
      </c>
    </row>
    <row r="3" spans="1:14" ht="14.25" customHeight="1"/>
    <row r="4" spans="1:14" ht="14.4" thickBot="1">
      <c r="A4" s="1" t="s">
        <v>262</v>
      </c>
      <c r="B4" s="48" t="s">
        <v>74</v>
      </c>
    </row>
    <row r="5" spans="1:14" s="19" customFormat="1">
      <c r="A5" s="110"/>
      <c r="B5" s="111"/>
      <c r="C5" s="112" t="s">
        <v>0</v>
      </c>
      <c r="D5" s="112" t="s">
        <v>1</v>
      </c>
      <c r="E5" s="112" t="s">
        <v>2</v>
      </c>
      <c r="F5" s="112" t="s">
        <v>3</v>
      </c>
      <c r="G5" s="112" t="s">
        <v>4</v>
      </c>
      <c r="H5" s="112" t="s">
        <v>5</v>
      </c>
      <c r="I5" s="112" t="s">
        <v>145</v>
      </c>
      <c r="J5" s="112" t="s">
        <v>146</v>
      </c>
      <c r="K5" s="112" t="s">
        <v>147</v>
      </c>
      <c r="L5" s="112" t="s">
        <v>148</v>
      </c>
      <c r="M5" s="112" t="s">
        <v>149</v>
      </c>
      <c r="N5" s="113" t="s">
        <v>150</v>
      </c>
    </row>
    <row r="6" spans="1:14" ht="41.4">
      <c r="A6" s="102"/>
      <c r="B6" s="58"/>
      <c r="C6" s="59" t="s">
        <v>84</v>
      </c>
      <c r="D6" s="60" t="s">
        <v>73</v>
      </c>
      <c r="E6" s="61" t="s">
        <v>83</v>
      </c>
      <c r="F6" s="62">
        <v>0</v>
      </c>
      <c r="G6" s="62">
        <v>0.2</v>
      </c>
      <c r="H6" s="62">
        <v>0.35</v>
      </c>
      <c r="I6" s="62">
        <v>0.5</v>
      </c>
      <c r="J6" s="62">
        <v>0.75</v>
      </c>
      <c r="K6" s="62">
        <v>1</v>
      </c>
      <c r="L6" s="62">
        <v>1.5</v>
      </c>
      <c r="M6" s="62">
        <v>2.5</v>
      </c>
      <c r="N6" s="103" t="s">
        <v>74</v>
      </c>
    </row>
    <row r="7" spans="1:14">
      <c r="A7" s="104">
        <v>1</v>
      </c>
      <c r="B7" s="63" t="s">
        <v>75</v>
      </c>
      <c r="C7" s="187">
        <f>SUM(C8:C13)</f>
        <v>186916086</v>
      </c>
      <c r="D7" s="58"/>
      <c r="E7" s="190">
        <f t="shared" ref="E7:M7" si="0">SUM(E8:E13)</f>
        <v>3738321.72</v>
      </c>
      <c r="F7" s="187">
        <f>SUM(F8:F13)</f>
        <v>0</v>
      </c>
      <c r="G7" s="187">
        <f t="shared" si="0"/>
        <v>0</v>
      </c>
      <c r="H7" s="187">
        <f t="shared" si="0"/>
        <v>0</v>
      </c>
      <c r="I7" s="187">
        <f t="shared" si="0"/>
        <v>0</v>
      </c>
      <c r="J7" s="187">
        <f t="shared" si="0"/>
        <v>0</v>
      </c>
      <c r="K7" s="187">
        <f t="shared" si="0"/>
        <v>3738321.72</v>
      </c>
      <c r="L7" s="187">
        <f t="shared" si="0"/>
        <v>0</v>
      </c>
      <c r="M7" s="187">
        <f t="shared" si="0"/>
        <v>0</v>
      </c>
      <c r="N7" s="105">
        <f>SUM(N8:N13)</f>
        <v>3738321.72</v>
      </c>
    </row>
    <row r="8" spans="1:14">
      <c r="A8" s="104">
        <v>1.1000000000000001</v>
      </c>
      <c r="B8" s="64" t="s">
        <v>76</v>
      </c>
      <c r="C8" s="188">
        <v>186916086</v>
      </c>
      <c r="D8" s="65">
        <v>0.02</v>
      </c>
      <c r="E8" s="190">
        <f>C8*D8</f>
        <v>3738321.72</v>
      </c>
      <c r="F8" s="188"/>
      <c r="G8" s="188"/>
      <c r="H8" s="188"/>
      <c r="I8" s="188"/>
      <c r="J8" s="188"/>
      <c r="K8" s="188">
        <v>3738321.72</v>
      </c>
      <c r="L8" s="188"/>
      <c r="M8" s="188"/>
      <c r="N8" s="105">
        <f>SUMPRODUCT($F$6:$M$6,F8:M8)</f>
        <v>3738321.72</v>
      </c>
    </row>
    <row r="9" spans="1:14">
      <c r="A9" s="104">
        <v>1.2</v>
      </c>
      <c r="B9" s="64" t="s">
        <v>77</v>
      </c>
      <c r="C9" s="188">
        <v>0</v>
      </c>
      <c r="D9" s="65">
        <v>0.05</v>
      </c>
      <c r="E9" s="190">
        <f>C9*D9</f>
        <v>0</v>
      </c>
      <c r="F9" s="188"/>
      <c r="G9" s="188"/>
      <c r="H9" s="188"/>
      <c r="I9" s="188"/>
      <c r="J9" s="188"/>
      <c r="K9" s="188"/>
      <c r="L9" s="188"/>
      <c r="M9" s="188"/>
      <c r="N9" s="105">
        <f t="shared" ref="N9:N12" si="1">SUMPRODUCT($F$6:$M$6,F9:M9)</f>
        <v>0</v>
      </c>
    </row>
    <row r="10" spans="1:14">
      <c r="A10" s="104">
        <v>1.3</v>
      </c>
      <c r="B10" s="64" t="s">
        <v>78</v>
      </c>
      <c r="C10" s="188">
        <v>0</v>
      </c>
      <c r="D10" s="65">
        <v>0.08</v>
      </c>
      <c r="E10" s="190">
        <f>C10*D10</f>
        <v>0</v>
      </c>
      <c r="F10" s="188"/>
      <c r="G10" s="188"/>
      <c r="H10" s="188"/>
      <c r="I10" s="188"/>
      <c r="J10" s="188"/>
      <c r="K10" s="188"/>
      <c r="L10" s="188"/>
      <c r="M10" s="188"/>
      <c r="N10" s="105">
        <f>SUMPRODUCT($F$6:$M$6,F10:M10)</f>
        <v>0</v>
      </c>
    </row>
    <row r="11" spans="1:14">
      <c r="A11" s="104">
        <v>1.4</v>
      </c>
      <c r="B11" s="64" t="s">
        <v>79</v>
      </c>
      <c r="C11" s="188">
        <v>0</v>
      </c>
      <c r="D11" s="65">
        <v>0.11</v>
      </c>
      <c r="E11" s="190">
        <f>C11*D11</f>
        <v>0</v>
      </c>
      <c r="F11" s="188"/>
      <c r="G11" s="188"/>
      <c r="H11" s="188"/>
      <c r="I11" s="188"/>
      <c r="J11" s="188"/>
      <c r="K11" s="188"/>
      <c r="L11" s="188"/>
      <c r="M11" s="188"/>
      <c r="N11" s="105">
        <f t="shared" si="1"/>
        <v>0</v>
      </c>
    </row>
    <row r="12" spans="1:14">
      <c r="A12" s="104">
        <v>1.5</v>
      </c>
      <c r="B12" s="64" t="s">
        <v>80</v>
      </c>
      <c r="C12" s="188">
        <v>0</v>
      </c>
      <c r="D12" s="65">
        <v>0.14000000000000001</v>
      </c>
      <c r="E12" s="190">
        <f>C12*D12</f>
        <v>0</v>
      </c>
      <c r="F12" s="188"/>
      <c r="G12" s="188"/>
      <c r="H12" s="188"/>
      <c r="I12" s="188"/>
      <c r="J12" s="188"/>
      <c r="K12" s="188"/>
      <c r="L12" s="188"/>
      <c r="M12" s="188"/>
      <c r="N12" s="105">
        <f t="shared" si="1"/>
        <v>0</v>
      </c>
    </row>
    <row r="13" spans="1:14">
      <c r="A13" s="104">
        <v>1.6</v>
      </c>
      <c r="B13" s="66" t="s">
        <v>81</v>
      </c>
      <c r="C13" s="188">
        <v>0</v>
      </c>
      <c r="D13" s="67"/>
      <c r="E13" s="188"/>
      <c r="F13" s="188"/>
      <c r="G13" s="188"/>
      <c r="H13" s="188"/>
      <c r="I13" s="188"/>
      <c r="J13" s="188"/>
      <c r="K13" s="188"/>
      <c r="L13" s="188"/>
      <c r="M13" s="188"/>
      <c r="N13" s="105">
        <f>SUMPRODUCT($F$6:$M$6,F13:M13)</f>
        <v>0</v>
      </c>
    </row>
    <row r="14" spans="1:14">
      <c r="A14" s="104">
        <v>2</v>
      </c>
      <c r="B14" s="68" t="s">
        <v>82</v>
      </c>
      <c r="C14" s="187">
        <f>SUM(C15:C20)</f>
        <v>0</v>
      </c>
      <c r="D14" s="58"/>
      <c r="E14" s="190">
        <f t="shared" ref="E14:M14" si="2">SUM(E15:E20)</f>
        <v>0</v>
      </c>
      <c r="F14" s="188">
        <f t="shared" si="2"/>
        <v>0</v>
      </c>
      <c r="G14" s="188">
        <f t="shared" si="2"/>
        <v>0</v>
      </c>
      <c r="H14" s="188">
        <f t="shared" si="2"/>
        <v>0</v>
      </c>
      <c r="I14" s="188">
        <f t="shared" si="2"/>
        <v>0</v>
      </c>
      <c r="J14" s="188">
        <f t="shared" si="2"/>
        <v>0</v>
      </c>
      <c r="K14" s="188">
        <f t="shared" si="2"/>
        <v>0</v>
      </c>
      <c r="L14" s="188">
        <f t="shared" si="2"/>
        <v>0</v>
      </c>
      <c r="M14" s="188">
        <f t="shared" si="2"/>
        <v>0</v>
      </c>
      <c r="N14" s="105">
        <f>SUM(N15:N20)</f>
        <v>0</v>
      </c>
    </row>
    <row r="15" spans="1:14">
      <c r="A15" s="104">
        <v>2.1</v>
      </c>
      <c r="B15" s="66" t="s">
        <v>76</v>
      </c>
      <c r="C15" s="188"/>
      <c r="D15" s="65">
        <v>5.0000000000000001E-3</v>
      </c>
      <c r="E15" s="190">
        <f>C15*D15</f>
        <v>0</v>
      </c>
      <c r="F15" s="188"/>
      <c r="G15" s="188"/>
      <c r="H15" s="188"/>
      <c r="I15" s="188"/>
      <c r="J15" s="188"/>
      <c r="K15" s="188"/>
      <c r="L15" s="188"/>
      <c r="M15" s="188"/>
      <c r="N15" s="105">
        <f>SUMPRODUCT($F$6:$M$6,F15:M15)</f>
        <v>0</v>
      </c>
    </row>
    <row r="16" spans="1:14">
      <c r="A16" s="104">
        <v>2.2000000000000002</v>
      </c>
      <c r="B16" s="66" t="s">
        <v>77</v>
      </c>
      <c r="C16" s="188"/>
      <c r="D16" s="65">
        <v>0.01</v>
      </c>
      <c r="E16" s="190">
        <f>C16*D16</f>
        <v>0</v>
      </c>
      <c r="F16" s="188"/>
      <c r="G16" s="188"/>
      <c r="H16" s="188"/>
      <c r="I16" s="188"/>
      <c r="J16" s="188"/>
      <c r="K16" s="188"/>
      <c r="L16" s="188"/>
      <c r="M16" s="188"/>
      <c r="N16" s="105">
        <f t="shared" ref="N16:N20" si="3">SUMPRODUCT($F$6:$M$6,F16:M16)</f>
        <v>0</v>
      </c>
    </row>
    <row r="17" spans="1:14">
      <c r="A17" s="104">
        <v>2.2999999999999998</v>
      </c>
      <c r="B17" s="66" t="s">
        <v>78</v>
      </c>
      <c r="C17" s="188"/>
      <c r="D17" s="65">
        <v>0.02</v>
      </c>
      <c r="E17" s="190">
        <f>C17*D17</f>
        <v>0</v>
      </c>
      <c r="F17" s="188"/>
      <c r="G17" s="188"/>
      <c r="H17" s="188"/>
      <c r="I17" s="188"/>
      <c r="J17" s="188"/>
      <c r="K17" s="188"/>
      <c r="L17" s="188"/>
      <c r="M17" s="188"/>
      <c r="N17" s="105">
        <f t="shared" si="3"/>
        <v>0</v>
      </c>
    </row>
    <row r="18" spans="1:14">
      <c r="A18" s="104">
        <v>2.4</v>
      </c>
      <c r="B18" s="66" t="s">
        <v>79</v>
      </c>
      <c r="C18" s="188"/>
      <c r="D18" s="65">
        <v>0.03</v>
      </c>
      <c r="E18" s="190">
        <f>C18*D18</f>
        <v>0</v>
      </c>
      <c r="F18" s="188"/>
      <c r="G18" s="188"/>
      <c r="H18" s="188"/>
      <c r="I18" s="188"/>
      <c r="J18" s="188"/>
      <c r="K18" s="188"/>
      <c r="L18" s="188"/>
      <c r="M18" s="188"/>
      <c r="N18" s="105">
        <f t="shared" si="3"/>
        <v>0</v>
      </c>
    </row>
    <row r="19" spans="1:14">
      <c r="A19" s="104">
        <v>2.5</v>
      </c>
      <c r="B19" s="66" t="s">
        <v>80</v>
      </c>
      <c r="C19" s="188"/>
      <c r="D19" s="65">
        <v>0.04</v>
      </c>
      <c r="E19" s="190">
        <f>C19*D19</f>
        <v>0</v>
      </c>
      <c r="F19" s="188"/>
      <c r="G19" s="188"/>
      <c r="H19" s="188"/>
      <c r="I19" s="188"/>
      <c r="J19" s="188"/>
      <c r="K19" s="188"/>
      <c r="L19" s="188"/>
      <c r="M19" s="188"/>
      <c r="N19" s="105">
        <f t="shared" si="3"/>
        <v>0</v>
      </c>
    </row>
    <row r="20" spans="1:14">
      <c r="A20" s="104">
        <v>2.6</v>
      </c>
      <c r="B20" s="66" t="s">
        <v>81</v>
      </c>
      <c r="C20" s="188"/>
      <c r="D20" s="67"/>
      <c r="E20" s="191"/>
      <c r="F20" s="188"/>
      <c r="G20" s="188"/>
      <c r="H20" s="188"/>
      <c r="I20" s="188"/>
      <c r="J20" s="188"/>
      <c r="K20" s="188"/>
      <c r="L20" s="188"/>
      <c r="M20" s="188"/>
      <c r="N20" s="105">
        <f t="shared" si="3"/>
        <v>0</v>
      </c>
    </row>
    <row r="21" spans="1:14" ht="14.4" thickBot="1">
      <c r="A21" s="106">
        <v>3</v>
      </c>
      <c r="B21" s="107" t="s">
        <v>66</v>
      </c>
      <c r="C21" s="189">
        <f>C14+C7</f>
        <v>186916086</v>
      </c>
      <c r="D21" s="108"/>
      <c r="E21" s="192">
        <f>E14+E7</f>
        <v>3738321.72</v>
      </c>
      <c r="F21" s="193">
        <f>F7+F14</f>
        <v>0</v>
      </c>
      <c r="G21" s="193">
        <f t="shared" ref="G21:L21" si="4">G7+G14</f>
        <v>0</v>
      </c>
      <c r="H21" s="193">
        <f t="shared" si="4"/>
        <v>0</v>
      </c>
      <c r="I21" s="193">
        <f t="shared" si="4"/>
        <v>0</v>
      </c>
      <c r="J21" s="193">
        <f t="shared" si="4"/>
        <v>0</v>
      </c>
      <c r="K21" s="193">
        <f t="shared" si="4"/>
        <v>3738321.72</v>
      </c>
      <c r="L21" s="193">
        <f t="shared" si="4"/>
        <v>0</v>
      </c>
      <c r="M21" s="193">
        <f>M7+M14</f>
        <v>0</v>
      </c>
      <c r="N21" s="109">
        <f>N14+N7</f>
        <v>3738321.72</v>
      </c>
    </row>
    <row r="22" spans="1:14">
      <c r="E22" s="194"/>
      <c r="F22" s="194"/>
      <c r="G22" s="194"/>
      <c r="H22" s="194"/>
      <c r="I22" s="194"/>
      <c r="J22" s="194"/>
      <c r="K22" s="194"/>
      <c r="L22" s="194"/>
      <c r="M22" s="194"/>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21" workbookViewId="0">
      <selection activeCell="C6" sqref="C6:C7"/>
    </sheetView>
  </sheetViews>
  <sheetFormatPr defaultRowHeight="14.4"/>
  <cols>
    <col min="1" max="1" width="11.44140625" customWidth="1"/>
    <col min="2" max="2" width="76.77734375" style="2" customWidth="1"/>
    <col min="3" max="3" width="22.77734375" customWidth="1"/>
  </cols>
  <sheetData>
    <row r="1" spans="1:3">
      <c r="A1" s="1" t="s">
        <v>108</v>
      </c>
      <c r="B1" t="str">
        <f>Info!C2</f>
        <v>კრედო</v>
      </c>
    </row>
    <row r="2" spans="1:3">
      <c r="A2" s="1" t="s">
        <v>109</v>
      </c>
      <c r="B2" s="346">
        <f>'1. key ratios'!B2</f>
        <v>45199</v>
      </c>
    </row>
    <row r="3" spans="1:3">
      <c r="A3" s="1"/>
      <c r="B3"/>
    </row>
    <row r="4" spans="1:3">
      <c r="A4" s="1" t="s">
        <v>428</v>
      </c>
      <c r="B4" t="s">
        <v>387</v>
      </c>
    </row>
    <row r="5" spans="1:3">
      <c r="A5" s="278"/>
      <c r="B5" s="278" t="s">
        <v>388</v>
      </c>
      <c r="C5" s="290"/>
    </row>
    <row r="6" spans="1:3">
      <c r="A6" s="279">
        <v>1</v>
      </c>
      <c r="B6" s="291" t="s">
        <v>440</v>
      </c>
      <c r="C6" s="799">
        <f>'2. SOFP'!E69</f>
        <v>2339065142.3627505</v>
      </c>
    </row>
    <row r="7" spans="1:3">
      <c r="A7" s="279">
        <v>2</v>
      </c>
      <c r="B7" s="291" t="s">
        <v>389</v>
      </c>
      <c r="C7" s="799">
        <f>'9. Capital'!C15</f>
        <v>18631862.960000001</v>
      </c>
    </row>
    <row r="8" spans="1:3">
      <c r="A8" s="280">
        <v>3</v>
      </c>
      <c r="B8" s="293" t="s">
        <v>390</v>
      </c>
      <c r="C8" s="294">
        <f>C6-C7</f>
        <v>2320433279.4027505</v>
      </c>
    </row>
    <row r="9" spans="1:3">
      <c r="A9" s="281"/>
      <c r="B9" s="281" t="s">
        <v>391</v>
      </c>
      <c r="C9" s="295"/>
    </row>
    <row r="10" spans="1:3">
      <c r="A10" s="282">
        <v>4</v>
      </c>
      <c r="B10" s="296" t="s">
        <v>392</v>
      </c>
      <c r="C10" s="292"/>
    </row>
    <row r="11" spans="1:3">
      <c r="A11" s="282">
        <v>5</v>
      </c>
      <c r="B11" s="297" t="s">
        <v>393</v>
      </c>
      <c r="C11" s="292"/>
    </row>
    <row r="12" spans="1:3">
      <c r="A12" s="282" t="s">
        <v>394</v>
      </c>
      <c r="B12" s="291" t="s">
        <v>395</v>
      </c>
      <c r="C12" s="294">
        <f>'15. CCR'!E21</f>
        <v>3738321.72</v>
      </c>
    </row>
    <row r="13" spans="1:3">
      <c r="A13" s="283">
        <v>6</v>
      </c>
      <c r="B13" s="298" t="s">
        <v>396</v>
      </c>
      <c r="C13" s="292"/>
    </row>
    <row r="14" spans="1:3">
      <c r="A14" s="283">
        <v>7</v>
      </c>
      <c r="B14" s="299" t="s">
        <v>397</v>
      </c>
      <c r="C14" s="292"/>
    </row>
    <row r="15" spans="1:3">
      <c r="A15" s="284">
        <v>8</v>
      </c>
      <c r="B15" s="291" t="s">
        <v>398</v>
      </c>
      <c r="C15" s="292"/>
    </row>
    <row r="16" spans="1:3" ht="22.8">
      <c r="A16" s="283">
        <v>9</v>
      </c>
      <c r="B16" s="299" t="s">
        <v>399</v>
      </c>
      <c r="C16" s="292"/>
    </row>
    <row r="17" spans="1:3">
      <c r="A17" s="283">
        <v>10</v>
      </c>
      <c r="B17" s="299" t="s">
        <v>400</v>
      </c>
      <c r="C17" s="292"/>
    </row>
    <row r="18" spans="1:3">
      <c r="A18" s="285">
        <v>11</v>
      </c>
      <c r="B18" s="300" t="s">
        <v>401</v>
      </c>
      <c r="C18" s="294">
        <f>SUM(C10:C17)</f>
        <v>3738321.72</v>
      </c>
    </row>
    <row r="19" spans="1:3">
      <c r="A19" s="281"/>
      <c r="B19" s="281" t="s">
        <v>402</v>
      </c>
      <c r="C19" s="301"/>
    </row>
    <row r="20" spans="1:3">
      <c r="A20" s="283">
        <v>12</v>
      </c>
      <c r="B20" s="296" t="s">
        <v>403</v>
      </c>
      <c r="C20" s="292"/>
    </row>
    <row r="21" spans="1:3">
      <c r="A21" s="283">
        <v>13</v>
      </c>
      <c r="B21" s="296" t="s">
        <v>404</v>
      </c>
      <c r="C21" s="292"/>
    </row>
    <row r="22" spans="1:3">
      <c r="A22" s="283">
        <v>14</v>
      </c>
      <c r="B22" s="296" t="s">
        <v>405</v>
      </c>
      <c r="C22" s="292"/>
    </row>
    <row r="23" spans="1:3" ht="22.8">
      <c r="A23" s="283" t="s">
        <v>406</v>
      </c>
      <c r="B23" s="296" t="s">
        <v>407</v>
      </c>
      <c r="C23" s="292"/>
    </row>
    <row r="24" spans="1:3">
      <c r="A24" s="283">
        <v>15</v>
      </c>
      <c r="B24" s="296" t="s">
        <v>408</v>
      </c>
      <c r="C24" s="292"/>
    </row>
    <row r="25" spans="1:3">
      <c r="A25" s="283" t="s">
        <v>409</v>
      </c>
      <c r="B25" s="291" t="s">
        <v>410</v>
      </c>
      <c r="C25" s="292"/>
    </row>
    <row r="26" spans="1:3">
      <c r="A26" s="285">
        <v>16</v>
      </c>
      <c r="B26" s="300" t="s">
        <v>411</v>
      </c>
      <c r="C26" s="294">
        <f>SUM(C20:C25)</f>
        <v>0</v>
      </c>
    </row>
    <row r="27" spans="1:3">
      <c r="A27" s="281"/>
      <c r="B27" s="281" t="s">
        <v>412</v>
      </c>
      <c r="C27" s="295"/>
    </row>
    <row r="28" spans="1:3">
      <c r="A28" s="282">
        <v>17</v>
      </c>
      <c r="B28" s="291" t="s">
        <v>413</v>
      </c>
      <c r="C28" s="292">
        <v>48217748.61999999</v>
      </c>
    </row>
    <row r="29" spans="1:3">
      <c r="A29" s="282">
        <v>18</v>
      </c>
      <c r="B29" s="291" t="s">
        <v>414</v>
      </c>
      <c r="C29" s="292">
        <v>-24571747.349999994</v>
      </c>
    </row>
    <row r="30" spans="1:3">
      <c r="A30" s="285">
        <v>19</v>
      </c>
      <c r="B30" s="300" t="s">
        <v>415</v>
      </c>
      <c r="C30" s="294">
        <f>C28+C29</f>
        <v>23646001.269999996</v>
      </c>
    </row>
    <row r="31" spans="1:3">
      <c r="A31" s="286"/>
      <c r="B31" s="281" t="s">
        <v>416</v>
      </c>
      <c r="C31" s="295"/>
    </row>
    <row r="32" spans="1:3">
      <c r="A32" s="282" t="s">
        <v>417</v>
      </c>
      <c r="B32" s="296" t="s">
        <v>418</v>
      </c>
      <c r="C32" s="302"/>
    </row>
    <row r="33" spans="1:3">
      <c r="A33" s="282" t="s">
        <v>419</v>
      </c>
      <c r="B33" s="297" t="s">
        <v>420</v>
      </c>
      <c r="C33" s="302"/>
    </row>
    <row r="34" spans="1:3">
      <c r="A34" s="281"/>
      <c r="B34" s="281" t="s">
        <v>421</v>
      </c>
      <c r="C34" s="295"/>
    </row>
    <row r="35" spans="1:3">
      <c r="A35" s="285">
        <v>20</v>
      </c>
      <c r="B35" s="300" t="s">
        <v>86</v>
      </c>
      <c r="C35" s="294">
        <f>'1. key ratios'!C9</f>
        <v>273581181.16999578</v>
      </c>
    </row>
    <row r="36" spans="1:3">
      <c r="A36" s="285">
        <v>21</v>
      </c>
      <c r="B36" s="300" t="s">
        <v>422</v>
      </c>
      <c r="C36" s="294">
        <f>C8+C18+C26+C30</f>
        <v>2347817602.3927503</v>
      </c>
    </row>
    <row r="37" spans="1:3">
      <c r="A37" s="287"/>
      <c r="B37" s="287" t="s">
        <v>387</v>
      </c>
      <c r="C37" s="295"/>
    </row>
    <row r="38" spans="1:3">
      <c r="A38" s="285">
        <v>22</v>
      </c>
      <c r="B38" s="300" t="s">
        <v>387</v>
      </c>
      <c r="C38" s="742">
        <f>IFERROR(C35/C36,0)</f>
        <v>0.11652573900595123</v>
      </c>
    </row>
    <row r="39" spans="1:3">
      <c r="A39" s="287"/>
      <c r="B39" s="287" t="s">
        <v>423</v>
      </c>
      <c r="C39" s="295"/>
    </row>
    <row r="40" spans="1:3">
      <c r="A40" s="288" t="s">
        <v>424</v>
      </c>
      <c r="B40" s="296" t="s">
        <v>425</v>
      </c>
      <c r="C40" s="302"/>
    </row>
    <row r="41" spans="1:3">
      <c r="A41" s="289" t="s">
        <v>426</v>
      </c>
      <c r="B41" s="297" t="s">
        <v>427</v>
      </c>
      <c r="C41" s="302"/>
    </row>
    <row r="43" spans="1:3">
      <c r="B43" s="311"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2"/>
  <sheetViews>
    <sheetView zoomScale="90" zoomScaleNormal="90" workbookViewId="0">
      <pane xSplit="2" ySplit="6" topLeftCell="C26" activePane="bottomRight" state="frozen"/>
      <selection pane="topRight" activeCell="C1" sqref="C1"/>
      <selection pane="bottomLeft" activeCell="A7" sqref="A7"/>
      <selection pane="bottomRight" activeCell="E42" sqref="E42"/>
    </sheetView>
  </sheetViews>
  <sheetFormatPr defaultRowHeight="14.4"/>
  <cols>
    <col min="1" max="1" width="9.88671875" style="1" bestFit="1" customWidth="1"/>
    <col min="2" max="2" width="82.6640625" style="17" customWidth="1"/>
    <col min="3" max="7" width="17.5546875" style="1" customWidth="1"/>
    <col min="8" max="9" width="16.109375" bestFit="1" customWidth="1"/>
    <col min="10" max="10" width="17.77734375" bestFit="1" customWidth="1"/>
    <col min="11" max="11" width="15" bestFit="1" customWidth="1"/>
  </cols>
  <sheetData>
    <row r="1" spans="1:11">
      <c r="A1" s="1" t="s">
        <v>108</v>
      </c>
      <c r="B1" s="1" t="str">
        <f>Info!C2</f>
        <v>კრედო</v>
      </c>
    </row>
    <row r="2" spans="1:11">
      <c r="A2" s="1" t="s">
        <v>109</v>
      </c>
      <c r="B2" s="346">
        <f>'1. key ratios'!B2</f>
        <v>45199</v>
      </c>
    </row>
    <row r="3" spans="1:11">
      <c r="B3" s="346"/>
    </row>
    <row r="4" spans="1:11" ht="15" thickBot="1">
      <c r="A4" s="1" t="s">
        <v>488</v>
      </c>
      <c r="B4" s="202" t="s">
        <v>453</v>
      </c>
    </row>
    <row r="5" spans="1:11">
      <c r="A5" s="350"/>
      <c r="B5" s="351"/>
      <c r="C5" s="866" t="s">
        <v>454</v>
      </c>
      <c r="D5" s="866"/>
      <c r="E5" s="866"/>
      <c r="F5" s="866"/>
      <c r="G5" s="867" t="s">
        <v>455</v>
      </c>
    </row>
    <row r="6" spans="1:11">
      <c r="A6" s="352"/>
      <c r="B6" s="353"/>
      <c r="C6" s="354" t="s">
        <v>456</v>
      </c>
      <c r="D6" s="354" t="s">
        <v>457</v>
      </c>
      <c r="E6" s="354" t="s">
        <v>458</v>
      </c>
      <c r="F6" s="354" t="s">
        <v>459</v>
      </c>
      <c r="G6" s="868"/>
    </row>
    <row r="7" spans="1:11">
      <c r="A7" s="355"/>
      <c r="B7" s="356" t="s">
        <v>460</v>
      </c>
      <c r="C7" s="357"/>
      <c r="D7" s="357"/>
      <c r="E7" s="357"/>
      <c r="F7" s="357"/>
      <c r="G7" s="358"/>
    </row>
    <row r="8" spans="1:11">
      <c r="A8" s="359">
        <v>1</v>
      </c>
      <c r="B8" s="360" t="s">
        <v>461</v>
      </c>
      <c r="C8" s="743">
        <f>SUM(C9:C10)</f>
        <v>273581181.16999578</v>
      </c>
      <c r="D8" s="361">
        <f>SUM(D9:D10)</f>
        <v>0</v>
      </c>
      <c r="E8" s="361">
        <f>SUM(E9:E10)</f>
        <v>0</v>
      </c>
      <c r="F8" s="743">
        <f>SUM(F9:F10)</f>
        <v>725807965.8223871</v>
      </c>
      <c r="G8" s="368">
        <f>SUM(G9:G10)</f>
        <v>999389146.99238288</v>
      </c>
      <c r="H8" s="777"/>
    </row>
    <row r="9" spans="1:11">
      <c r="A9" s="359">
        <v>2</v>
      </c>
      <c r="B9" s="363" t="s">
        <v>85</v>
      </c>
      <c r="C9" s="361">
        <v>273581181.16999578</v>
      </c>
      <c r="D9" s="361"/>
      <c r="E9" s="361"/>
      <c r="F9" s="361">
        <v>75134116</v>
      </c>
      <c r="G9" s="362">
        <f>C9+F9</f>
        <v>348715297.16999578</v>
      </c>
      <c r="H9" s="777"/>
    </row>
    <row r="10" spans="1:11">
      <c r="A10" s="359">
        <v>3</v>
      </c>
      <c r="B10" s="363" t="s">
        <v>462</v>
      </c>
      <c r="C10" s="364"/>
      <c r="D10" s="364"/>
      <c r="E10" s="364"/>
      <c r="F10" s="361">
        <v>650673849.8223871</v>
      </c>
      <c r="G10" s="362">
        <f>C10+F10</f>
        <v>650673849.8223871</v>
      </c>
      <c r="H10" s="777"/>
    </row>
    <row r="11" spans="1:11" ht="27.6">
      <c r="A11" s="359">
        <v>4</v>
      </c>
      <c r="B11" s="360" t="s">
        <v>463</v>
      </c>
      <c r="C11" s="745">
        <f t="shared" ref="C11:F11" si="0">SUM(C12:C13)</f>
        <v>197771820</v>
      </c>
      <c r="D11" s="743">
        <f t="shared" si="0"/>
        <v>194551764</v>
      </c>
      <c r="E11" s="743">
        <f t="shared" si="0"/>
        <v>104449262</v>
      </c>
      <c r="F11" s="743">
        <f t="shared" si="0"/>
        <v>13088928</v>
      </c>
      <c r="G11" s="368">
        <f>SUM(G12:G13)</f>
        <v>393835501.44999999</v>
      </c>
      <c r="H11" s="777"/>
    </row>
    <row r="12" spans="1:11">
      <c r="A12" s="359">
        <v>5</v>
      </c>
      <c r="B12" s="363" t="s">
        <v>464</v>
      </c>
      <c r="C12" s="784">
        <f>69955426+1339150</f>
        <v>71294576</v>
      </c>
      <c r="D12" s="787">
        <v>139284528</v>
      </c>
      <c r="E12" s="784">
        <v>87573345</v>
      </c>
      <c r="F12" s="784">
        <v>10524472</v>
      </c>
      <c r="G12" s="362">
        <f>SUM(C12:F12)*0.95</f>
        <v>293243074.94999999</v>
      </c>
      <c r="H12" s="777"/>
      <c r="I12" s="783"/>
      <c r="J12" s="777"/>
      <c r="K12" s="777"/>
    </row>
    <row r="13" spans="1:11">
      <c r="A13" s="359">
        <v>6</v>
      </c>
      <c r="B13" s="363" t="s">
        <v>465</v>
      </c>
      <c r="C13" s="784">
        <f>127816394-1339150</f>
        <v>126477244</v>
      </c>
      <c r="D13" s="787">
        <v>55267236</v>
      </c>
      <c r="E13" s="784">
        <v>16875917</v>
      </c>
      <c r="F13" s="784">
        <v>2564456</v>
      </c>
      <c r="G13" s="362">
        <f>SUM(C13:F13)*0.5</f>
        <v>100592426.5</v>
      </c>
      <c r="H13" s="782"/>
      <c r="I13" s="777"/>
    </row>
    <row r="14" spans="1:11">
      <c r="A14" s="359">
        <v>7</v>
      </c>
      <c r="B14" s="360" t="s">
        <v>466</v>
      </c>
      <c r="C14" s="745">
        <f t="shared" ref="C14:F14" si="1">SUM(C15:C16)</f>
        <v>74179397.081799954</v>
      </c>
      <c r="D14" s="743">
        <f t="shared" si="1"/>
        <v>295474953</v>
      </c>
      <c r="E14" s="743">
        <f t="shared" si="1"/>
        <v>344434670.01542288</v>
      </c>
      <c r="F14" s="743">
        <f t="shared" si="1"/>
        <v>7475637</v>
      </c>
      <c r="G14" s="368">
        <f>SUM(G15:G16)</f>
        <v>290737546.5486114</v>
      </c>
    </row>
    <row r="15" spans="1:11" ht="55.2">
      <c r="A15" s="359">
        <v>8</v>
      </c>
      <c r="B15" s="363" t="s">
        <v>467</v>
      </c>
      <c r="C15" s="784">
        <v>74179397.081799954</v>
      </c>
      <c r="D15" s="785">
        <v>155385389</v>
      </c>
      <c r="E15" s="785">
        <v>105021944</v>
      </c>
      <c r="F15" s="784">
        <v>7475637</v>
      </c>
      <c r="G15" s="362">
        <f>SUM(C15:F15)*0.5</f>
        <v>171031183.54089999</v>
      </c>
      <c r="H15" s="769"/>
      <c r="I15" s="783"/>
    </row>
    <row r="16" spans="1:11" ht="27.6">
      <c r="A16" s="359">
        <v>9</v>
      </c>
      <c r="B16" s="363" t="s">
        <v>468</v>
      </c>
      <c r="C16" s="784"/>
      <c r="D16" s="786">
        <v>140089564</v>
      </c>
      <c r="E16" s="784">
        <v>239412726.01542288</v>
      </c>
      <c r="F16" s="784"/>
      <c r="G16" s="362">
        <f>E16*0.5</f>
        <v>119706363.00771144</v>
      </c>
      <c r="I16" s="710"/>
      <c r="J16" s="710"/>
      <c r="K16" s="710"/>
    </row>
    <row r="17" spans="1:10">
      <c r="A17" s="359">
        <v>10</v>
      </c>
      <c r="B17" s="360" t="s">
        <v>469</v>
      </c>
      <c r="C17" s="361"/>
      <c r="D17" s="365"/>
      <c r="E17" s="361"/>
      <c r="F17" s="361"/>
      <c r="G17" s="362"/>
      <c r="I17" s="710"/>
    </row>
    <row r="18" spans="1:10">
      <c r="A18" s="359">
        <v>11</v>
      </c>
      <c r="B18" s="360" t="s">
        <v>89</v>
      </c>
      <c r="C18" s="743">
        <f>SUM(C19:C20)</f>
        <v>38415834</v>
      </c>
      <c r="D18" s="744">
        <f t="shared" ref="D18:G18" si="2">SUM(D19:D20)</f>
        <v>5521303.3399999999</v>
      </c>
      <c r="E18" s="743">
        <f t="shared" si="2"/>
        <v>2665152.4037807146</v>
      </c>
      <c r="F18" s="743">
        <f t="shared" si="2"/>
        <v>43015412.676826611</v>
      </c>
      <c r="G18" s="362">
        <f t="shared" si="2"/>
        <v>0</v>
      </c>
      <c r="I18" s="710"/>
    </row>
    <row r="19" spans="1:10">
      <c r="A19" s="359">
        <v>12</v>
      </c>
      <c r="B19" s="363" t="s">
        <v>470</v>
      </c>
      <c r="C19" s="364"/>
      <c r="D19" s="365"/>
      <c r="E19" s="361"/>
      <c r="F19" s="361"/>
      <c r="G19" s="362"/>
      <c r="I19" s="710"/>
    </row>
    <row r="20" spans="1:10" ht="27.6">
      <c r="A20" s="359">
        <v>13</v>
      </c>
      <c r="B20" s="363" t="s">
        <v>471</v>
      </c>
      <c r="C20" s="784">
        <v>38415834</v>
      </c>
      <c r="D20" s="784">
        <v>5521303.3399999999</v>
      </c>
      <c r="E20" s="784">
        <v>2665152.4037807146</v>
      </c>
      <c r="F20" s="784">
        <v>43015412.676826611</v>
      </c>
      <c r="G20" s="362"/>
      <c r="H20" s="769"/>
      <c r="I20" s="710"/>
    </row>
    <row r="21" spans="1:10">
      <c r="A21" s="366">
        <v>14</v>
      </c>
      <c r="B21" s="367" t="s">
        <v>472</v>
      </c>
      <c r="C21" s="364"/>
      <c r="D21" s="364"/>
      <c r="E21" s="364"/>
      <c r="F21" s="364"/>
      <c r="G21" s="368">
        <f>SUM(G8,G11,G14,G17,G18)</f>
        <v>1683962194.9909942</v>
      </c>
    </row>
    <row r="22" spans="1:10">
      <c r="A22" s="369"/>
      <c r="B22" s="387" t="s">
        <v>473</v>
      </c>
      <c r="C22" s="370"/>
      <c r="D22" s="371"/>
      <c r="E22" s="370"/>
      <c r="F22" s="370"/>
      <c r="G22" s="372"/>
    </row>
    <row r="23" spans="1:10">
      <c r="A23" s="359">
        <v>15</v>
      </c>
      <c r="B23" s="360" t="s">
        <v>322</v>
      </c>
      <c r="C23" s="745">
        <v>169218418</v>
      </c>
      <c r="D23" s="746">
        <v>121291126</v>
      </c>
      <c r="E23" s="745">
        <v>3052342</v>
      </c>
      <c r="F23" s="745"/>
      <c r="G23" s="368">
        <v>4286294.5449749995</v>
      </c>
    </row>
    <row r="24" spans="1:10">
      <c r="A24" s="359">
        <v>16</v>
      </c>
      <c r="B24" s="360" t="s">
        <v>474</v>
      </c>
      <c r="C24" s="743">
        <f>SUM(C25:C27,C29,C31)</f>
        <v>68703437.350000009</v>
      </c>
      <c r="D24" s="744">
        <f t="shared" ref="D24:G24" si="3">SUM(D25:D27,D29,D31)</f>
        <v>587477903.89677203</v>
      </c>
      <c r="E24" s="743">
        <f t="shared" si="3"/>
        <v>321081808.45352298</v>
      </c>
      <c r="F24" s="743">
        <f t="shared" si="3"/>
        <v>893870763.93219507</v>
      </c>
      <c r="G24" s="368">
        <f t="shared" si="3"/>
        <v>1204241220.1412451</v>
      </c>
    </row>
    <row r="25" spans="1:10" ht="27.6">
      <c r="A25" s="359">
        <v>17</v>
      </c>
      <c r="B25" s="363" t="s">
        <v>475</v>
      </c>
      <c r="C25" s="361"/>
      <c r="D25" s="365"/>
      <c r="E25" s="361"/>
      <c r="F25" s="361"/>
      <c r="G25" s="362"/>
      <c r="I25" s="693"/>
    </row>
    <row r="26" spans="1:10" ht="27.6">
      <c r="A26" s="359">
        <v>18</v>
      </c>
      <c r="B26" s="363" t="s">
        <v>476</v>
      </c>
      <c r="C26" s="361">
        <v>68703437.350000009</v>
      </c>
      <c r="D26" s="365"/>
      <c r="E26" s="361"/>
      <c r="F26" s="361"/>
      <c r="G26" s="362">
        <f>C26*0.15</f>
        <v>10305515.602500001</v>
      </c>
      <c r="I26" s="693"/>
      <c r="J26" s="710"/>
    </row>
    <row r="27" spans="1:10">
      <c r="A27" s="359">
        <v>19</v>
      </c>
      <c r="B27" s="363" t="s">
        <v>477</v>
      </c>
      <c r="C27" s="361"/>
      <c r="D27" s="365">
        <v>583359317.89677203</v>
      </c>
      <c r="E27" s="361">
        <v>297739756.45352298</v>
      </c>
      <c r="F27" s="361">
        <v>823672955.08219504</v>
      </c>
      <c r="G27" s="788">
        <v>1130264701.7162452</v>
      </c>
      <c r="H27" s="803"/>
      <c r="I27" s="783"/>
      <c r="J27" s="783"/>
    </row>
    <row r="28" spans="1:10">
      <c r="A28" s="359">
        <v>20</v>
      </c>
      <c r="B28" s="373" t="s">
        <v>478</v>
      </c>
      <c r="C28" s="361"/>
      <c r="D28" s="365"/>
      <c r="E28" s="361"/>
      <c r="F28" s="361"/>
      <c r="G28" s="362"/>
    </row>
    <row r="29" spans="1:10">
      <c r="A29" s="359">
        <v>21</v>
      </c>
      <c r="B29" s="363" t="s">
        <v>479</v>
      </c>
      <c r="C29" s="361"/>
      <c r="D29" s="365">
        <v>4118586</v>
      </c>
      <c r="E29" s="361">
        <v>23342052</v>
      </c>
      <c r="F29" s="361">
        <v>69232747</v>
      </c>
      <c r="G29" s="362">
        <f>SUM(D29:F29)*0.65</f>
        <v>62850700.25</v>
      </c>
      <c r="J29" s="693"/>
    </row>
    <row r="30" spans="1:10">
      <c r="A30" s="359">
        <v>22</v>
      </c>
      <c r="B30" s="373" t="s">
        <v>478</v>
      </c>
      <c r="C30" s="361"/>
      <c r="D30" s="365">
        <v>4118586</v>
      </c>
      <c r="E30" s="361">
        <v>23342052</v>
      </c>
      <c r="F30" s="361">
        <v>69232747</v>
      </c>
      <c r="G30" s="362">
        <f>SUM(D30:F30)*0.65</f>
        <v>62850700.25</v>
      </c>
      <c r="H30" s="769"/>
      <c r="I30" s="769"/>
      <c r="J30" s="693"/>
    </row>
    <row r="31" spans="1:10" ht="27.6">
      <c r="A31" s="359">
        <v>23</v>
      </c>
      <c r="B31" s="363" t="s">
        <v>480</v>
      </c>
      <c r="C31" s="361"/>
      <c r="D31" s="365"/>
      <c r="E31" s="361"/>
      <c r="F31" s="361">
        <v>965061.85000000009</v>
      </c>
      <c r="G31" s="362">
        <f>F31*0.85</f>
        <v>820302.57250000001</v>
      </c>
    </row>
    <row r="32" spans="1:10">
      <c r="A32" s="359">
        <v>24</v>
      </c>
      <c r="B32" s="360" t="s">
        <v>481</v>
      </c>
      <c r="C32" s="361"/>
      <c r="D32" s="365"/>
      <c r="E32" s="361"/>
      <c r="F32" s="361"/>
      <c r="G32" s="362"/>
    </row>
    <row r="33" spans="1:10">
      <c r="A33" s="359">
        <v>25</v>
      </c>
      <c r="B33" s="360" t="s">
        <v>99</v>
      </c>
      <c r="C33" s="743">
        <f>SUM(C34:C35)</f>
        <v>76515341.309999987</v>
      </c>
      <c r="D33" s="743">
        <f>SUM(D34:D35)</f>
        <v>24685627.153227977</v>
      </c>
      <c r="E33" s="743">
        <f>SUM(E34:E35)</f>
        <v>3745200.1488544345</v>
      </c>
      <c r="F33" s="743">
        <f>SUM(F34:F35)</f>
        <v>51549157.387805074</v>
      </c>
      <c r="G33" s="368">
        <f>SUM(G34:G35)</f>
        <v>156495325.99988747</v>
      </c>
    </row>
    <row r="34" spans="1:10">
      <c r="A34" s="359">
        <v>26</v>
      </c>
      <c r="B34" s="363" t="s">
        <v>482</v>
      </c>
      <c r="C34" s="364"/>
      <c r="D34" s="365">
        <v>757847.93</v>
      </c>
      <c r="E34" s="361"/>
      <c r="F34" s="361"/>
      <c r="G34" s="362">
        <f>D34</f>
        <v>757847.93</v>
      </c>
      <c r="H34" s="769"/>
      <c r="I34" s="693"/>
      <c r="J34" s="769"/>
    </row>
    <row r="35" spans="1:10">
      <c r="A35" s="359">
        <v>27</v>
      </c>
      <c r="B35" s="363" t="s">
        <v>483</v>
      </c>
      <c r="C35" s="784">
        <v>76515341.309999987</v>
      </c>
      <c r="D35" s="787">
        <v>23927779.223227978</v>
      </c>
      <c r="E35" s="784">
        <v>3745200.1488544345</v>
      </c>
      <c r="F35" s="784">
        <v>51549157.387805074</v>
      </c>
      <c r="G35" s="362">
        <f>SUM(C35:F35)</f>
        <v>155737478.06988746</v>
      </c>
      <c r="I35" s="783"/>
    </row>
    <row r="36" spans="1:10">
      <c r="A36" s="359">
        <v>28</v>
      </c>
      <c r="B36" s="360" t="s">
        <v>484</v>
      </c>
      <c r="C36" s="361">
        <f>925746.08+23392112</f>
        <v>24317858.079999998</v>
      </c>
      <c r="D36" s="365"/>
      <c r="E36" s="361"/>
      <c r="F36" s="361">
        <f>46913002.54-23392112</f>
        <v>23520890.539999999</v>
      </c>
      <c r="G36" s="362">
        <f>SUM(C36:F36)*0.05</f>
        <v>2391937.4309999999</v>
      </c>
      <c r="H36" s="693"/>
      <c r="I36" s="710"/>
      <c r="J36" s="710"/>
    </row>
    <row r="37" spans="1:10">
      <c r="A37" s="366">
        <v>29</v>
      </c>
      <c r="B37" s="367" t="s">
        <v>485</v>
      </c>
      <c r="C37" s="364"/>
      <c r="D37" s="364"/>
      <c r="E37" s="364"/>
      <c r="F37" s="364"/>
      <c r="G37" s="368">
        <f>SUM(G23:G24,G32:G33,G36)</f>
        <v>1367414778.1171076</v>
      </c>
      <c r="I37" s="710"/>
    </row>
    <row r="38" spans="1:10">
      <c r="A38" s="355"/>
      <c r="B38" s="374"/>
      <c r="C38" s="375"/>
      <c r="D38" s="375"/>
      <c r="E38" s="375"/>
      <c r="F38" s="375"/>
      <c r="G38" s="376"/>
    </row>
    <row r="39" spans="1:10" ht="15" thickBot="1">
      <c r="A39" s="377">
        <v>30</v>
      </c>
      <c r="B39" s="378" t="s">
        <v>453</v>
      </c>
      <c r="C39" s="239"/>
      <c r="D39" s="222"/>
      <c r="E39" s="222"/>
      <c r="F39" s="379"/>
      <c r="G39" s="380">
        <f>IFERROR(G21/G37,0)</f>
        <v>1.2314933419907628</v>
      </c>
    </row>
    <row r="42" spans="1:10" ht="41.4">
      <c r="B42" s="17"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zoomScale="80" zoomScaleNormal="80" workbookViewId="0">
      <pane xSplit="1" ySplit="5" topLeftCell="B26" activePane="bottomRight" state="frozen"/>
      <selection pane="topRight" activeCell="B1" sqref="B1"/>
      <selection pane="bottomLeft" activeCell="A6" sqref="A6"/>
      <selection pane="bottomRight" activeCell="I46" sqref="I46:L48"/>
    </sheetView>
  </sheetViews>
  <sheetFormatPr defaultRowHeight="14.4"/>
  <cols>
    <col min="1" max="1" width="9.5546875" style="14" bestFit="1" customWidth="1"/>
    <col min="2" max="2" width="88.33203125" style="12" customWidth="1"/>
    <col min="3" max="3" width="12.77734375" style="12" customWidth="1"/>
    <col min="4" max="7" width="12.77734375" style="1" customWidth="1"/>
    <col min="8" max="8" width="6.77734375" customWidth="1"/>
    <col min="9" max="12" width="14.33203125" bestFit="1" customWidth="1"/>
    <col min="13" max="13" width="6.77734375" customWidth="1"/>
    <col min="14" max="14" width="12.21875" customWidth="1"/>
    <col min="16" max="16" width="11" bestFit="1" customWidth="1"/>
  </cols>
  <sheetData>
    <row r="1" spans="1:12">
      <c r="A1" s="13" t="s">
        <v>108</v>
      </c>
      <c r="B1" s="310" t="str">
        <f>Info!C2</f>
        <v>კრედო</v>
      </c>
    </row>
    <row r="2" spans="1:12">
      <c r="A2" s="13" t="s">
        <v>109</v>
      </c>
      <c r="B2" s="346">
        <v>45199</v>
      </c>
    </row>
    <row r="3" spans="1:12" ht="15" thickBot="1">
      <c r="A3" s="13"/>
    </row>
    <row r="4" spans="1:12" ht="15" thickBot="1">
      <c r="A4" s="33" t="s">
        <v>252</v>
      </c>
      <c r="B4" s="141" t="s">
        <v>139</v>
      </c>
      <c r="C4" s="142"/>
      <c r="D4" s="806" t="s">
        <v>946</v>
      </c>
      <c r="E4" s="807"/>
      <c r="F4" s="807"/>
      <c r="G4" s="808"/>
      <c r="I4" s="809" t="s">
        <v>947</v>
      </c>
      <c r="J4" s="810"/>
      <c r="K4" s="810"/>
      <c r="L4" s="811"/>
    </row>
    <row r="5" spans="1:12">
      <c r="A5" s="207" t="s">
        <v>25</v>
      </c>
      <c r="B5" s="208"/>
      <c r="C5" s="331" t="str">
        <f>INT((MONTH($B$2))/3)&amp;"Q"&amp;"-"&amp;YEAR($B$2)</f>
        <v>3Q-2023</v>
      </c>
      <c r="D5" s="331" t="str">
        <f>IF(INT(MONTH($B$2))=3, "4"&amp;"Q"&amp;"-"&amp;YEAR($B$2)-1, IF(INT(MONTH($B$2))=6, "1"&amp;"Q"&amp;"-"&amp;YEAR($B$2), IF(INT(MONTH($B$2))=9, "2"&amp;"Q"&amp;"-"&amp;YEAR($B$2),IF(INT(MONTH($B$2))=12, "3"&amp;"Q"&amp;"-"&amp;YEAR($B$2), 0))))</f>
        <v>2Q-2023</v>
      </c>
      <c r="E5" s="331" t="str">
        <f>IF(INT(MONTH($B$2))=3, "3"&amp;"Q"&amp;"-"&amp;YEAR($B$2)-1, IF(INT(MONTH($B$2))=6, "4"&amp;"Q"&amp;"-"&amp;YEAR($B$2)-1, IF(INT(MONTH($B$2))=9, "1"&amp;"Q"&amp;"-"&amp;YEAR($B$2),IF(INT(MONTH($B$2))=12, "2"&amp;"Q"&amp;"-"&amp;YEAR($B$2), 0))))</f>
        <v>1Q-2023</v>
      </c>
      <c r="F5" s="331" t="str">
        <f>IF(INT(MONTH($B$2))=3, "2"&amp;"Q"&amp;"-"&amp;YEAR($B$2)-1, IF(INT(MONTH($B$2))=6, "3"&amp;"Q"&amp;"-"&amp;YEAR($B$2)-1, IF(INT(MONTH($B$2))=9, "4"&amp;"Q"&amp;"-"&amp;YEAR($B$2)-1,IF(INT(MONTH($B$2))=12, "1"&amp;"Q"&amp;"-"&amp;YEAR($B$2), 0))))</f>
        <v>4Q-2022</v>
      </c>
      <c r="G5" s="332" t="str">
        <f>IF(INT(MONTH($B$2))=3, "1"&amp;"Q"&amp;"-"&amp;YEAR($B$2)-1, IF(INT(MONTH($B$2))=6, "2"&amp;"Q"&amp;"-"&amp;YEAR($B$2)-1, IF(INT(MONTH($B$2))=9, "3"&amp;"Q"&amp;"-"&amp;YEAR($B$2)-1,IF(INT(MONTH($B$2))=12, "4"&amp;"Q"&amp;"-"&amp;YEAR($B$2)-1, 0))))</f>
        <v>3Q-2022</v>
      </c>
      <c r="I5" s="630" t="str">
        <f>D5</f>
        <v>2Q-2023</v>
      </c>
      <c r="J5" s="331" t="str">
        <f t="shared" ref="J5:L5" si="0">E5</f>
        <v>1Q-2023</v>
      </c>
      <c r="K5" s="331" t="str">
        <f t="shared" si="0"/>
        <v>4Q-2022</v>
      </c>
      <c r="L5" s="332" t="str">
        <f t="shared" si="0"/>
        <v>3Q-2022</v>
      </c>
    </row>
    <row r="6" spans="1:12">
      <c r="A6" s="333"/>
      <c r="B6" s="334" t="s">
        <v>106</v>
      </c>
      <c r="C6" s="209"/>
      <c r="D6" s="209"/>
      <c r="E6" s="209"/>
      <c r="F6" s="209"/>
      <c r="G6" s="210"/>
      <c r="I6" s="631"/>
      <c r="J6" s="209"/>
      <c r="K6" s="209"/>
      <c r="L6" s="210"/>
    </row>
    <row r="7" spans="1:12">
      <c r="A7" s="333"/>
      <c r="B7" s="335" t="s">
        <v>110</v>
      </c>
      <c r="C7" s="209"/>
      <c r="D7" s="209"/>
      <c r="E7" s="209"/>
      <c r="F7" s="209"/>
      <c r="G7" s="210"/>
      <c r="I7" s="631"/>
      <c r="J7" s="209"/>
      <c r="K7" s="209"/>
      <c r="L7" s="210"/>
    </row>
    <row r="8" spans="1:12">
      <c r="A8" s="314">
        <v>1</v>
      </c>
      <c r="B8" s="315" t="s">
        <v>22</v>
      </c>
      <c r="C8" s="336">
        <v>273581181.16999578</v>
      </c>
      <c r="D8" s="337">
        <v>260667992.61999992</v>
      </c>
      <c r="E8" s="337">
        <v>249275771.72</v>
      </c>
      <c r="F8" s="337">
        <v>245581009.12999979</v>
      </c>
      <c r="G8" s="338">
        <v>234593846.70000005</v>
      </c>
      <c r="I8" s="644">
        <v>238102682.34000072</v>
      </c>
      <c r="J8" s="645">
        <v>227329233.36999953</v>
      </c>
      <c r="K8" s="645">
        <v>214666012.52000001</v>
      </c>
      <c r="L8" s="646">
        <v>207106305.80000001</v>
      </c>
    </row>
    <row r="9" spans="1:12">
      <c r="A9" s="314">
        <v>2</v>
      </c>
      <c r="B9" s="315" t="s">
        <v>86</v>
      </c>
      <c r="C9" s="336">
        <v>273581181.16999578</v>
      </c>
      <c r="D9" s="337">
        <v>260667992.61999992</v>
      </c>
      <c r="E9" s="337">
        <v>249275771.72</v>
      </c>
      <c r="F9" s="337">
        <v>245581009.12999979</v>
      </c>
      <c r="G9" s="338">
        <v>234593846.70000005</v>
      </c>
      <c r="I9" s="644">
        <v>238102682.34000072</v>
      </c>
      <c r="J9" s="645">
        <v>227329233.36999953</v>
      </c>
      <c r="K9" s="645">
        <v>214666012.51999971</v>
      </c>
      <c r="L9" s="646">
        <v>207106305.80000001</v>
      </c>
    </row>
    <row r="10" spans="1:12">
      <c r="A10" s="314">
        <v>3</v>
      </c>
      <c r="B10" s="315" t="s">
        <v>85</v>
      </c>
      <c r="C10" s="336">
        <v>348715297.16999578</v>
      </c>
      <c r="D10" s="337">
        <v>339370410.61999989</v>
      </c>
      <c r="E10" s="337">
        <v>326164029.72000003</v>
      </c>
      <c r="F10" s="337">
        <v>312962049.12999976</v>
      </c>
      <c r="G10" s="338">
        <v>303793946.70000005</v>
      </c>
      <c r="I10" s="644">
        <v>337198825.76114929</v>
      </c>
      <c r="J10" s="645">
        <v>323841615.06906784</v>
      </c>
      <c r="K10" s="645">
        <v>302188638.76197034</v>
      </c>
      <c r="L10" s="646">
        <v>294906529.86733359</v>
      </c>
    </row>
    <row r="11" spans="1:12">
      <c r="A11" s="314">
        <v>4</v>
      </c>
      <c r="B11" s="315" t="s">
        <v>445</v>
      </c>
      <c r="C11" s="336">
        <v>211366153.40843534</v>
      </c>
      <c r="D11" s="337">
        <v>206145177.04826996</v>
      </c>
      <c r="E11" s="337">
        <v>197630429.46356279</v>
      </c>
      <c r="F11" s="337">
        <v>197699126.41092411</v>
      </c>
      <c r="G11" s="338">
        <v>148166094.10301402</v>
      </c>
      <c r="I11" s="644">
        <v>176489743.36682165</v>
      </c>
      <c r="J11" s="645">
        <v>172140990.82947937</v>
      </c>
      <c r="K11" s="645">
        <v>168546471.01320142</v>
      </c>
      <c r="L11" s="646">
        <v>155187807.28500125</v>
      </c>
    </row>
    <row r="12" spans="1:12">
      <c r="A12" s="314">
        <v>5</v>
      </c>
      <c r="B12" s="315" t="s">
        <v>446</v>
      </c>
      <c r="C12" s="336">
        <v>253060191.63724506</v>
      </c>
      <c r="D12" s="337">
        <v>246974104.80373019</v>
      </c>
      <c r="E12" s="337">
        <v>237258757.57883739</v>
      </c>
      <c r="F12" s="337">
        <v>235965932.35859731</v>
      </c>
      <c r="G12" s="338">
        <v>184085650.21945411</v>
      </c>
      <c r="I12" s="644">
        <v>218714358.1203261</v>
      </c>
      <c r="J12" s="645">
        <v>213319510.62380606</v>
      </c>
      <c r="K12" s="645">
        <v>208103387.59380776</v>
      </c>
      <c r="L12" s="646">
        <v>191591817.26351747</v>
      </c>
    </row>
    <row r="13" spans="1:12">
      <c r="A13" s="314">
        <v>6</v>
      </c>
      <c r="B13" s="315" t="s">
        <v>447</v>
      </c>
      <c r="C13" s="336">
        <v>308445062.24420512</v>
      </c>
      <c r="D13" s="337">
        <v>301209566.78413063</v>
      </c>
      <c r="E13" s="337">
        <v>289894568.45340198</v>
      </c>
      <c r="F13" s="337">
        <v>297781619.25709003</v>
      </c>
      <c r="G13" s="338">
        <v>242129845.12346169</v>
      </c>
      <c r="I13" s="644">
        <v>274804064.26633006</v>
      </c>
      <c r="J13" s="645">
        <v>268019862.51069021</v>
      </c>
      <c r="K13" s="645">
        <v>272011178.0017516</v>
      </c>
      <c r="L13" s="646">
        <v>250423017.24919254</v>
      </c>
    </row>
    <row r="14" spans="1:12">
      <c r="A14" s="333"/>
      <c r="B14" s="334" t="s">
        <v>449</v>
      </c>
      <c r="C14" s="209"/>
      <c r="D14" s="209"/>
      <c r="E14" s="209"/>
      <c r="F14" s="209"/>
      <c r="G14" s="210"/>
      <c r="I14" s="631"/>
      <c r="J14" s="209"/>
      <c r="K14" s="209"/>
      <c r="L14" s="210"/>
    </row>
    <row r="15" spans="1:12" ht="22.05" customHeight="1">
      <c r="A15" s="314">
        <v>7</v>
      </c>
      <c r="B15" s="315" t="s">
        <v>448</v>
      </c>
      <c r="C15" s="339">
        <v>1992317162.3594787</v>
      </c>
      <c r="D15" s="337">
        <v>1950116748.2201159</v>
      </c>
      <c r="E15" s="337">
        <v>1893374491.8908103</v>
      </c>
      <c r="F15" s="337">
        <v>1931098425.3504341</v>
      </c>
      <c r="G15" s="338">
        <v>1816053193.8398914</v>
      </c>
      <c r="I15" s="632">
        <v>2017809587.2925699</v>
      </c>
      <c r="J15" s="633">
        <v>1968738198.5261486</v>
      </c>
      <c r="K15" s="633">
        <v>1997562971.9483364</v>
      </c>
      <c r="L15" s="634">
        <v>1841246012.9868748</v>
      </c>
    </row>
    <row r="16" spans="1:12">
      <c r="A16" s="333"/>
      <c r="B16" s="334" t="s">
        <v>452</v>
      </c>
      <c r="C16" s="209"/>
      <c r="D16" s="209"/>
      <c r="E16" s="209"/>
      <c r="F16" s="209"/>
      <c r="G16" s="210"/>
      <c r="I16" s="631"/>
      <c r="J16" s="209"/>
      <c r="K16" s="209"/>
      <c r="L16" s="210"/>
    </row>
    <row r="17" spans="1:12">
      <c r="A17" s="314"/>
      <c r="B17" s="335" t="s">
        <v>435</v>
      </c>
      <c r="C17" s="209"/>
      <c r="D17" s="209"/>
      <c r="E17" s="209"/>
      <c r="F17" s="209"/>
      <c r="G17" s="210"/>
      <c r="I17" s="631"/>
      <c r="J17" s="209"/>
      <c r="K17" s="209"/>
      <c r="L17" s="210"/>
    </row>
    <row r="18" spans="1:12">
      <c r="A18" s="314">
        <v>8</v>
      </c>
      <c r="B18" s="315" t="s">
        <v>443</v>
      </c>
      <c r="C18" s="766">
        <f>C8/$C$15</f>
        <v>0.13731808686825581</v>
      </c>
      <c r="D18" s="348">
        <v>0.13366789083674774</v>
      </c>
      <c r="E18" s="348">
        <v>0.13165687653849284</v>
      </c>
      <c r="F18" s="348">
        <v>0.12717166867630506</v>
      </c>
      <c r="G18" s="349">
        <v>0.12917784979853544</v>
      </c>
      <c r="I18" s="635">
        <v>0.11800057044008747</v>
      </c>
      <c r="J18" s="636">
        <v>0.11546950912019914</v>
      </c>
      <c r="K18" s="636">
        <v>0.10746395259350637</v>
      </c>
      <c r="L18" s="637">
        <v>0.11248160448914241</v>
      </c>
    </row>
    <row r="19" spans="1:12" ht="15" customHeight="1">
      <c r="A19" s="314">
        <v>9</v>
      </c>
      <c r="B19" s="315" t="s">
        <v>442</v>
      </c>
      <c r="C19" s="766">
        <f t="shared" ref="C19:C20" si="1">C9/$C$15</f>
        <v>0.13731808686825581</v>
      </c>
      <c r="D19" s="348">
        <v>0.13366789083674774</v>
      </c>
      <c r="E19" s="348">
        <v>0.13165687653849284</v>
      </c>
      <c r="F19" s="348">
        <v>0.12717166867630506</v>
      </c>
      <c r="G19" s="349">
        <v>0.12917784979853544</v>
      </c>
      <c r="I19" s="635">
        <v>0.11800057044008747</v>
      </c>
      <c r="J19" s="636">
        <v>0.11546950912019914</v>
      </c>
      <c r="K19" s="636">
        <v>0.10746395259350637</v>
      </c>
      <c r="L19" s="637">
        <v>0.11248160448914241</v>
      </c>
    </row>
    <row r="20" spans="1:12">
      <c r="A20" s="314">
        <v>10</v>
      </c>
      <c r="B20" s="315" t="s">
        <v>444</v>
      </c>
      <c r="C20" s="766">
        <f t="shared" si="1"/>
        <v>0.17503001216784991</v>
      </c>
      <c r="D20" s="348">
        <v>0.17402568893874967</v>
      </c>
      <c r="E20" s="348">
        <v>0.17226598917273769</v>
      </c>
      <c r="F20" s="348">
        <v>0.1620642661304055</v>
      </c>
      <c r="G20" s="349">
        <v>0.16728251558405804</v>
      </c>
      <c r="I20" s="635">
        <v>0.16711132105066043</v>
      </c>
      <c r="J20" s="636">
        <v>0.16449196511324082</v>
      </c>
      <c r="K20" s="636">
        <v>0.15127865454335521</v>
      </c>
      <c r="L20" s="637">
        <v>0.16016682604457366</v>
      </c>
    </row>
    <row r="21" spans="1:12">
      <c r="A21" s="314">
        <v>11</v>
      </c>
      <c r="B21" s="315" t="s">
        <v>445</v>
      </c>
      <c r="C21" s="347">
        <v>0.10609061518793181</v>
      </c>
      <c r="D21" s="348">
        <v>0.10570914650952051</v>
      </c>
      <c r="E21" s="348">
        <v>0.10438</v>
      </c>
      <c r="F21" s="348">
        <v>0.10237651474188732</v>
      </c>
      <c r="G21" s="349">
        <v>8.1586869044143639E-2</v>
      </c>
      <c r="I21" s="635">
        <v>8.7466004958193178E-2</v>
      </c>
      <c r="J21" s="636">
        <v>8.7437217888264085E-2</v>
      </c>
      <c r="K21" s="636">
        <v>8.4376048905636492E-2</v>
      </c>
      <c r="L21" s="637">
        <v>8.4284124006468383E-2</v>
      </c>
    </row>
    <row r="22" spans="1:12">
      <c r="A22" s="314">
        <v>12</v>
      </c>
      <c r="B22" s="315" t="s">
        <v>446</v>
      </c>
      <c r="C22" s="347">
        <v>0.12701802524878519</v>
      </c>
      <c r="D22" s="348">
        <v>0.12664580468279402</v>
      </c>
      <c r="E22" s="348">
        <v>0.12530999999999998</v>
      </c>
      <c r="F22" s="348">
        <v>0.12219259736373969</v>
      </c>
      <c r="G22" s="349">
        <v>0.10136578093850904</v>
      </c>
      <c r="I22" s="635">
        <v>0.10839197092615155</v>
      </c>
      <c r="J22" s="636">
        <v>0.10835341681463939</v>
      </c>
      <c r="K22" s="636">
        <v>0.1041786369271917</v>
      </c>
      <c r="L22" s="637">
        <v>0.10405552322294871</v>
      </c>
    </row>
    <row r="23" spans="1:12">
      <c r="A23" s="314">
        <v>13</v>
      </c>
      <c r="B23" s="315" t="s">
        <v>447</v>
      </c>
      <c r="C23" s="347">
        <v>0.15481724901306598</v>
      </c>
      <c r="D23" s="348">
        <v>0.15445719701604868</v>
      </c>
      <c r="E23" s="348">
        <v>0.15311000000000002</v>
      </c>
      <c r="F23" s="348">
        <v>0.15420323239249287</v>
      </c>
      <c r="G23" s="349">
        <v>0.13332750711530567</v>
      </c>
      <c r="I23" s="635">
        <v>0.13618929456820209</v>
      </c>
      <c r="J23" s="636">
        <v>0.13613788908618588</v>
      </c>
      <c r="K23" s="636">
        <v>0.13617151590292229</v>
      </c>
      <c r="L23" s="637">
        <v>0.13600736429726495</v>
      </c>
    </row>
    <row r="24" spans="1:12">
      <c r="A24" s="333"/>
      <c r="B24" s="334" t="s">
        <v>6</v>
      </c>
      <c r="C24" s="209"/>
      <c r="D24" s="209"/>
      <c r="E24" s="209"/>
      <c r="F24" s="209"/>
      <c r="G24" s="210"/>
      <c r="I24" s="631"/>
      <c r="J24" s="209"/>
      <c r="K24" s="209"/>
      <c r="L24" s="210"/>
    </row>
    <row r="25" spans="1:12" ht="15" customHeight="1">
      <c r="A25" s="340">
        <v>14</v>
      </c>
      <c r="B25" s="341" t="s">
        <v>7</v>
      </c>
      <c r="C25" s="712">
        <v>0.20165843052568264</v>
      </c>
      <c r="D25" s="711">
        <v>0.19999527941386908</v>
      </c>
      <c r="E25" s="711">
        <v>0.19869999999999999</v>
      </c>
      <c r="F25" s="711">
        <v>0.217</v>
      </c>
      <c r="G25" s="701">
        <v>0.22109999999999999</v>
      </c>
      <c r="I25" s="647">
        <v>0.16472293116836484</v>
      </c>
      <c r="J25" s="648">
        <v>0.16516382001352556</v>
      </c>
      <c r="K25" s="648">
        <v>0.17369436084755779</v>
      </c>
      <c r="L25" s="649">
        <v>0.17577151248133191</v>
      </c>
    </row>
    <row r="26" spans="1:12">
      <c r="A26" s="340">
        <v>15</v>
      </c>
      <c r="B26" s="341" t="s">
        <v>8</v>
      </c>
      <c r="C26" s="712">
        <v>8.8709309573833328E-2</v>
      </c>
      <c r="D26" s="711">
        <v>8.9230553744010108E-2</v>
      </c>
      <c r="E26" s="711">
        <v>8.9499999999999996E-2</v>
      </c>
      <c r="F26" s="711">
        <v>9.6799999999999997E-2</v>
      </c>
      <c r="G26" s="701">
        <v>9.8500000000000004E-2</v>
      </c>
      <c r="I26" s="647">
        <v>8.698686307012729E-2</v>
      </c>
      <c r="J26" s="648">
        <v>8.7022423581187697E-2</v>
      </c>
      <c r="K26" s="648">
        <v>9.3747599787266697E-2</v>
      </c>
      <c r="L26" s="649">
        <v>9.5226642487695606E-2</v>
      </c>
    </row>
    <row r="27" spans="1:12">
      <c r="A27" s="340">
        <v>16</v>
      </c>
      <c r="B27" s="341" t="s">
        <v>9</v>
      </c>
      <c r="C27" s="712">
        <v>4.8751558674860834E-2</v>
      </c>
      <c r="D27" s="711">
        <v>4.535246578869833E-2</v>
      </c>
      <c r="E27" s="711">
        <v>4.3799999999999999E-2</v>
      </c>
      <c r="F27" s="711">
        <v>5.7200000000000001E-2</v>
      </c>
      <c r="G27" s="701">
        <v>5.57E-2</v>
      </c>
      <c r="I27" s="647">
        <v>3.2228817310131372E-2</v>
      </c>
      <c r="J27" s="648">
        <v>4.0038876592750676E-2</v>
      </c>
      <c r="K27" s="648">
        <v>3.6082132132482826E-2</v>
      </c>
      <c r="L27" s="649">
        <v>3.7508093087610758E-2</v>
      </c>
    </row>
    <row r="28" spans="1:12">
      <c r="A28" s="340">
        <v>17</v>
      </c>
      <c r="B28" s="341" t="s">
        <v>140</v>
      </c>
      <c r="C28" s="712">
        <v>0.11294912095184928</v>
      </c>
      <c r="D28" s="711">
        <v>0.11076472566985895</v>
      </c>
      <c r="E28" s="711">
        <v>0.10919999999999999</v>
      </c>
      <c r="F28" s="711">
        <v>0.1202</v>
      </c>
      <c r="G28" s="701">
        <v>0.12259999999999999</v>
      </c>
      <c r="I28" s="647">
        <v>7.7736068098237535E-2</v>
      </c>
      <c r="J28" s="648">
        <v>7.8141396432337862E-2</v>
      </c>
      <c r="K28" s="648">
        <v>7.9946761060291097E-2</v>
      </c>
      <c r="L28" s="649">
        <v>8.0544869993636289E-2</v>
      </c>
    </row>
    <row r="29" spans="1:12">
      <c r="A29" s="340">
        <v>18</v>
      </c>
      <c r="B29" s="341" t="s">
        <v>10</v>
      </c>
      <c r="C29" s="712">
        <v>1.5755517094875125E-2</v>
      </c>
      <c r="D29" s="711">
        <v>1.2539140240782745E-2</v>
      </c>
      <c r="E29" s="711">
        <v>9.1999999999999998E-3</v>
      </c>
      <c r="F29" s="711">
        <v>2.47E-2</v>
      </c>
      <c r="G29" s="701">
        <v>2.3400000000000001E-2</v>
      </c>
      <c r="I29" s="647">
        <v>2.1427121222337031E-2</v>
      </c>
      <c r="J29" s="648">
        <v>2.7364499316997783E-2</v>
      </c>
      <c r="K29" s="648">
        <v>1.7382715990512006E-2</v>
      </c>
      <c r="L29" s="649">
        <v>1.5318970784860456E-2</v>
      </c>
    </row>
    <row r="30" spans="1:12">
      <c r="A30" s="340">
        <v>19</v>
      </c>
      <c r="B30" s="341" t="s">
        <v>11</v>
      </c>
      <c r="C30" s="712">
        <v>0.12818915166632455</v>
      </c>
      <c r="D30" s="711">
        <v>0.10215598934812109</v>
      </c>
      <c r="E30" s="711">
        <v>7.4800000000000005E-2</v>
      </c>
      <c r="F30" s="711">
        <v>0.19750000000000001</v>
      </c>
      <c r="G30" s="701">
        <v>0.186</v>
      </c>
      <c r="I30" s="647">
        <v>0.19558561384584894</v>
      </c>
      <c r="J30" s="648">
        <v>0.25243818124239986</v>
      </c>
      <c r="K30" s="648">
        <v>0.15770000000000001</v>
      </c>
      <c r="L30" s="649">
        <v>0.13767808099401715</v>
      </c>
    </row>
    <row r="31" spans="1:12">
      <c r="A31" s="333"/>
      <c r="B31" s="334" t="s">
        <v>12</v>
      </c>
      <c r="C31" s="209"/>
      <c r="D31" s="209"/>
      <c r="E31" s="209"/>
      <c r="F31" s="209"/>
      <c r="G31" s="210"/>
      <c r="I31" s="631"/>
      <c r="J31" s="209"/>
      <c r="K31" s="209"/>
      <c r="L31" s="210"/>
    </row>
    <row r="32" spans="1:12">
      <c r="A32" s="340">
        <v>20</v>
      </c>
      <c r="B32" s="341" t="s">
        <v>13</v>
      </c>
      <c r="C32" s="712">
        <v>7.4144834285758739E-3</v>
      </c>
      <c r="D32" s="713">
        <v>7.7999999999999996E-3</v>
      </c>
      <c r="E32" s="713">
        <v>8.5000000000000006E-3</v>
      </c>
      <c r="F32" s="713">
        <v>9.78610893620167E-3</v>
      </c>
      <c r="G32" s="725">
        <v>1.3574523406658582E-2</v>
      </c>
      <c r="I32" s="647">
        <v>1.9863989380456613E-2</v>
      </c>
      <c r="J32" s="648">
        <v>1.9599999999999999E-2</v>
      </c>
      <c r="K32" s="648">
        <v>2.3871096451951922E-2</v>
      </c>
      <c r="L32" s="649">
        <v>3.2383367417705866E-2</v>
      </c>
    </row>
    <row r="33" spans="1:12" ht="15" customHeight="1">
      <c r="A33" s="340">
        <v>21</v>
      </c>
      <c r="B33" s="341" t="s">
        <v>994</v>
      </c>
      <c r="C33" s="712">
        <v>2.1419550833918735E-2</v>
      </c>
      <c r="D33" s="711">
        <v>2.1999999999999999E-2</v>
      </c>
      <c r="E33" s="711">
        <v>2.41E-2</v>
      </c>
      <c r="F33" s="711">
        <v>2.0500000000000001E-2</v>
      </c>
      <c r="G33" s="701">
        <v>2.4199999999999999E-2</v>
      </c>
      <c r="I33" s="647">
        <v>3.0701935911251893E-2</v>
      </c>
      <c r="J33" s="648">
        <v>3.2106452602982609E-2</v>
      </c>
      <c r="K33" s="648">
        <v>3.3211170692005902E-2</v>
      </c>
      <c r="L33" s="649">
        <v>3.7995556404880039E-2</v>
      </c>
    </row>
    <row r="34" spans="1:12">
      <c r="A34" s="340">
        <v>22</v>
      </c>
      <c r="B34" s="341" t="s">
        <v>14</v>
      </c>
      <c r="C34" s="712">
        <v>0.10351869435446093</v>
      </c>
      <c r="D34" s="711">
        <v>0.1048</v>
      </c>
      <c r="E34" s="711">
        <v>0.1047</v>
      </c>
      <c r="F34" s="711">
        <v>0.10639999999999999</v>
      </c>
      <c r="G34" s="701">
        <v>9.8699999999999996E-2</v>
      </c>
      <c r="I34" s="647">
        <v>0.10448446454123435</v>
      </c>
      <c r="J34" s="648">
        <v>0.10440000000000001</v>
      </c>
      <c r="K34" s="648">
        <v>0.10606337289064827</v>
      </c>
      <c r="L34" s="649">
        <v>9.8731863989680035E-2</v>
      </c>
    </row>
    <row r="35" spans="1:12" ht="15" customHeight="1">
      <c r="A35" s="340">
        <v>23</v>
      </c>
      <c r="B35" s="341" t="s">
        <v>15</v>
      </c>
      <c r="C35" s="712">
        <v>0.16217350737877462</v>
      </c>
      <c r="D35" s="711">
        <v>0.15959999999999999</v>
      </c>
      <c r="E35" s="711">
        <v>0.1651</v>
      </c>
      <c r="F35" s="711">
        <v>0.16889999999999999</v>
      </c>
      <c r="G35" s="701">
        <v>0.13589999999999999</v>
      </c>
      <c r="I35" s="647">
        <v>0.15763967398674023</v>
      </c>
      <c r="J35" s="648">
        <v>0.16300000000000001</v>
      </c>
      <c r="K35" s="648">
        <v>0.16718068949181306</v>
      </c>
      <c r="L35" s="649">
        <v>0.13363272851405159</v>
      </c>
    </row>
    <row r="36" spans="1:12">
      <c r="A36" s="340">
        <v>24</v>
      </c>
      <c r="B36" s="341" t="s">
        <v>16</v>
      </c>
      <c r="C36" s="712">
        <v>6.9868414348527752E-2</v>
      </c>
      <c r="D36" s="711">
        <v>1.47E-2</v>
      </c>
      <c r="E36" s="711">
        <v>9.7000000000000003E-3</v>
      </c>
      <c r="F36" s="711">
        <v>0.25</v>
      </c>
      <c r="G36" s="701">
        <v>0.17699999999999999</v>
      </c>
      <c r="I36" s="647">
        <v>4.3132208158023211E-2</v>
      </c>
      <c r="J36" s="648">
        <v>5.2700000000000004E-3</v>
      </c>
      <c r="K36" s="648">
        <v>0.20085356712840197</v>
      </c>
      <c r="L36" s="649">
        <v>0.12773668784046888</v>
      </c>
    </row>
    <row r="37" spans="1:12" ht="15" customHeight="1">
      <c r="A37" s="333"/>
      <c r="B37" s="334" t="s">
        <v>17</v>
      </c>
      <c r="C37" s="209"/>
      <c r="D37" s="209"/>
      <c r="E37" s="209"/>
      <c r="F37" s="209"/>
      <c r="G37" s="210"/>
      <c r="I37" s="631"/>
      <c r="J37" s="209"/>
      <c r="K37" s="209"/>
      <c r="L37" s="210"/>
    </row>
    <row r="38" spans="1:12" ht="15" customHeight="1">
      <c r="A38" s="340">
        <v>25</v>
      </c>
      <c r="B38" s="341" t="s">
        <v>18</v>
      </c>
      <c r="C38" s="712">
        <v>0.13885243177897869</v>
      </c>
      <c r="D38" s="712">
        <v>0.1237</v>
      </c>
      <c r="E38" s="712">
        <v>0.15390000000000001</v>
      </c>
      <c r="F38" s="712">
        <v>0.1338</v>
      </c>
      <c r="G38" s="702">
        <v>0.1288</v>
      </c>
      <c r="I38" s="650">
        <v>0.13306139921560961</v>
      </c>
      <c r="J38" s="651">
        <v>0.13250000000000001</v>
      </c>
      <c r="K38" s="651">
        <v>0.13224218771062179</v>
      </c>
      <c r="L38" s="652">
        <v>0.12482751523173331</v>
      </c>
    </row>
    <row r="39" spans="1:12" ht="15" customHeight="1">
      <c r="A39" s="340">
        <v>26</v>
      </c>
      <c r="B39" s="341" t="s">
        <v>19</v>
      </c>
      <c r="C39" s="712">
        <v>0.27619886094964935</v>
      </c>
      <c r="D39" s="712">
        <v>0.27900000000000003</v>
      </c>
      <c r="E39" s="712">
        <v>0.27389999999999998</v>
      </c>
      <c r="F39" s="712">
        <v>0.28139999999999998</v>
      </c>
      <c r="G39" s="702">
        <v>0.2379</v>
      </c>
      <c r="I39" s="650">
        <v>0.27400709540261015</v>
      </c>
      <c r="J39" s="651">
        <v>0.26879999999999998</v>
      </c>
      <c r="K39" s="651">
        <v>0.27629870187215017</v>
      </c>
      <c r="L39" s="652">
        <v>0.23418379388086483</v>
      </c>
    </row>
    <row r="40" spans="1:12" ht="15" customHeight="1">
      <c r="A40" s="340">
        <v>27</v>
      </c>
      <c r="B40" s="342" t="s">
        <v>20</v>
      </c>
      <c r="C40" s="712">
        <v>0.11626490808823245</v>
      </c>
      <c r="D40" s="712">
        <v>0.1143</v>
      </c>
      <c r="E40" s="712">
        <v>9.5200000000000007E-2</v>
      </c>
      <c r="F40" s="712">
        <v>0.10299999999999999</v>
      </c>
      <c r="G40" s="702">
        <v>9.1200000000000003E-2</v>
      </c>
      <c r="I40" s="650">
        <v>0.11290332193742683</v>
      </c>
      <c r="J40" s="651">
        <v>9.3948753316354827E-2</v>
      </c>
      <c r="K40" s="651">
        <v>0.10219181016612465</v>
      </c>
      <c r="L40" s="652">
        <v>8.9523857496763184E-2</v>
      </c>
    </row>
    <row r="41" spans="1:12" ht="15" customHeight="1">
      <c r="A41" s="345"/>
      <c r="B41" s="334" t="s">
        <v>356</v>
      </c>
      <c r="C41" s="209"/>
      <c r="D41" s="209"/>
      <c r="E41" s="209"/>
      <c r="F41" s="209"/>
      <c r="G41" s="210"/>
      <c r="I41" s="631"/>
      <c r="J41" s="209"/>
      <c r="K41" s="209"/>
      <c r="L41" s="210"/>
    </row>
    <row r="42" spans="1:12" ht="15" customHeight="1">
      <c r="A42" s="340">
        <v>28</v>
      </c>
      <c r="B42" s="386" t="s">
        <v>340</v>
      </c>
      <c r="C42" s="794">
        <v>297388065.41654223</v>
      </c>
      <c r="D42" s="714">
        <v>250231994.76926982</v>
      </c>
      <c r="E42" s="714">
        <v>286397601.06285328</v>
      </c>
      <c r="F42" s="714">
        <v>304823527.32999998</v>
      </c>
      <c r="G42" s="344">
        <v>228900364.54000002</v>
      </c>
      <c r="I42" s="653">
        <v>273697131.07999998</v>
      </c>
      <c r="J42" s="653">
        <v>250231994.76926982</v>
      </c>
      <c r="K42" s="639">
        <v>253102321.96526882</v>
      </c>
      <c r="L42" s="639">
        <v>227422413.58679929</v>
      </c>
    </row>
    <row r="43" spans="1:12">
      <c r="A43" s="340">
        <v>29</v>
      </c>
      <c r="B43" s="341" t="s">
        <v>341</v>
      </c>
      <c r="C43" s="794">
        <v>146641907.00037274</v>
      </c>
      <c r="D43" s="715">
        <v>134230427.80348599</v>
      </c>
      <c r="E43" s="715">
        <v>155335520.8722477</v>
      </c>
      <c r="F43" s="715">
        <v>132521210.6609405</v>
      </c>
      <c r="G43" s="343">
        <v>112292667.83324744</v>
      </c>
      <c r="I43" s="653">
        <v>144543917.90864196</v>
      </c>
      <c r="J43" s="653">
        <v>135321272.21771568</v>
      </c>
      <c r="K43" s="638">
        <v>119163803.34261332</v>
      </c>
      <c r="L43" s="638">
        <v>117655519.6043977</v>
      </c>
    </row>
    <row r="44" spans="1:12">
      <c r="A44" s="381">
        <v>30</v>
      </c>
      <c r="B44" s="382" t="s">
        <v>339</v>
      </c>
      <c r="C44" s="795">
        <v>2.0279882572434516</v>
      </c>
      <c r="D44" s="717">
        <v>1.8641972529180246</v>
      </c>
      <c r="E44" s="717">
        <v>1.8437354151494734</v>
      </c>
      <c r="F44" s="716">
        <v>2.3001867082990977</v>
      </c>
      <c r="G44" s="724">
        <v>2.0384266306675776</v>
      </c>
      <c r="I44" s="773">
        <v>1.893522294400436</v>
      </c>
      <c r="J44" s="654">
        <v>1.8491696883153492</v>
      </c>
      <c r="K44" s="651">
        <v>2.1239866038646209</v>
      </c>
      <c r="L44" s="651">
        <v>1.9329515041153986</v>
      </c>
    </row>
    <row r="45" spans="1:12">
      <c r="A45" s="381"/>
      <c r="B45" s="334" t="s">
        <v>453</v>
      </c>
      <c r="C45" s="209"/>
      <c r="D45" s="209"/>
      <c r="E45" s="209"/>
      <c r="F45" s="209"/>
      <c r="G45" s="210"/>
      <c r="I45" s="631"/>
      <c r="J45" s="209"/>
      <c r="K45" s="209"/>
      <c r="L45" s="210"/>
    </row>
    <row r="46" spans="1:12">
      <c r="A46" s="381">
        <v>31</v>
      </c>
      <c r="B46" s="382" t="s">
        <v>460</v>
      </c>
      <c r="C46" s="383">
        <v>1683962194.49</v>
      </c>
      <c r="D46" s="384">
        <v>1699059876.4952438</v>
      </c>
      <c r="E46" s="384">
        <v>1727302081.0853016</v>
      </c>
      <c r="F46" s="384">
        <v>1662866748.7295167</v>
      </c>
      <c r="G46" s="385">
        <v>1619600342.7434216</v>
      </c>
      <c r="I46" s="655">
        <v>1670552616.4387963</v>
      </c>
      <c r="J46" s="656">
        <v>1708303840.8290756</v>
      </c>
      <c r="K46" s="640">
        <v>1636746781.3146591</v>
      </c>
      <c r="L46" s="640">
        <v>1592112802.0434217</v>
      </c>
    </row>
    <row r="47" spans="1:12">
      <c r="A47" s="381">
        <v>32</v>
      </c>
      <c r="B47" s="382" t="s">
        <v>473</v>
      </c>
      <c r="C47" s="383">
        <v>1367414778.53</v>
      </c>
      <c r="D47" s="384">
        <v>1360891625.4603355</v>
      </c>
      <c r="E47" s="384">
        <v>1301909354.2163918</v>
      </c>
      <c r="F47" s="384">
        <v>1309431695.3216999</v>
      </c>
      <c r="G47" s="385">
        <v>1257343908.0587311</v>
      </c>
      <c r="I47" s="655">
        <v>1371227000.0091734</v>
      </c>
      <c r="J47" s="656">
        <v>1307961758.9002852</v>
      </c>
      <c r="K47" s="640">
        <v>1302558651.2794161</v>
      </c>
      <c r="L47" s="640">
        <v>1233142259.7309997</v>
      </c>
    </row>
    <row r="48" spans="1:12" ht="15" thickBot="1">
      <c r="A48" s="74">
        <v>33</v>
      </c>
      <c r="B48" s="164" t="s">
        <v>487</v>
      </c>
      <c r="C48" s="734">
        <v>1.231493341</v>
      </c>
      <c r="D48" s="722">
        <v>1.248490213848233</v>
      </c>
      <c r="E48" s="722">
        <v>1.3267452726191911</v>
      </c>
      <c r="F48" s="722">
        <v>1.269914845249706</v>
      </c>
      <c r="G48" s="723">
        <v>1.2881124506691206</v>
      </c>
      <c r="I48" s="657">
        <v>1.2182903461116361</v>
      </c>
      <c r="J48" s="658">
        <v>1.3060808767569718</v>
      </c>
      <c r="K48" s="659">
        <v>1.2565628270995648</v>
      </c>
      <c r="L48" s="659">
        <v>1.2911022953594411</v>
      </c>
    </row>
    <row r="49" spans="1:2">
      <c r="A49" s="15"/>
    </row>
    <row r="50" spans="1:2" ht="41.4">
      <c r="B50" s="17" t="s">
        <v>955</v>
      </c>
    </row>
    <row r="51" spans="1:2" ht="69">
      <c r="B51" s="248"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7"/>
  <sheetViews>
    <sheetView showGridLines="0" topLeftCell="F1" zoomScale="90" zoomScaleNormal="90" workbookViewId="0">
      <selection activeCell="A17" sqref="A17:XFD17"/>
    </sheetView>
  </sheetViews>
  <sheetFormatPr defaultColWidth="9.21875" defaultRowHeight="12"/>
  <cols>
    <col min="1" max="1" width="11.77734375" style="392" bestFit="1" customWidth="1"/>
    <col min="2" max="2" width="105.21875" style="392" bestFit="1" customWidth="1"/>
    <col min="3" max="3" width="25.33203125" style="392" customWidth="1"/>
    <col min="4" max="4" width="21" style="392" customWidth="1"/>
    <col min="5" max="5" width="17.33203125" style="392" bestFit="1" customWidth="1"/>
    <col min="6" max="6" width="20.33203125" style="392" customWidth="1"/>
    <col min="7" max="7" width="30.44140625" style="392" customWidth="1"/>
    <col min="8" max="8" width="19.21875" style="392" customWidth="1"/>
    <col min="9" max="16384" width="9.21875" style="392"/>
  </cols>
  <sheetData>
    <row r="1" spans="1:8" ht="13.8">
      <c r="A1" s="391" t="s">
        <v>108</v>
      </c>
      <c r="B1" s="310" t="str">
        <f>Info!C2</f>
        <v>კრედო</v>
      </c>
    </row>
    <row r="2" spans="1:8">
      <c r="A2" s="391" t="s">
        <v>109</v>
      </c>
      <c r="B2" s="394">
        <f>'1. key ratios'!B2</f>
        <v>45199</v>
      </c>
    </row>
    <row r="3" spans="1:8">
      <c r="A3" s="393" t="s">
        <v>493</v>
      </c>
    </row>
    <row r="5" spans="1:8">
      <c r="A5" s="869" t="s">
        <v>494</v>
      </c>
      <c r="B5" s="870"/>
      <c r="C5" s="875" t="s">
        <v>495</v>
      </c>
      <c r="D5" s="876"/>
      <c r="E5" s="876"/>
      <c r="F5" s="876"/>
      <c r="G5" s="876"/>
      <c r="H5" s="877"/>
    </row>
    <row r="6" spans="1:8">
      <c r="A6" s="871"/>
      <c r="B6" s="872"/>
      <c r="C6" s="878"/>
      <c r="D6" s="879"/>
      <c r="E6" s="879"/>
      <c r="F6" s="879"/>
      <c r="G6" s="879"/>
      <c r="H6" s="880"/>
    </row>
    <row r="7" spans="1:8" ht="24">
      <c r="A7" s="873"/>
      <c r="B7" s="874"/>
      <c r="C7" s="502" t="s">
        <v>496</v>
      </c>
      <c r="D7" s="502" t="s">
        <v>497</v>
      </c>
      <c r="E7" s="502" t="s">
        <v>498</v>
      </c>
      <c r="F7" s="502" t="s">
        <v>499</v>
      </c>
      <c r="G7" s="502" t="s">
        <v>680</v>
      </c>
      <c r="H7" s="502" t="s">
        <v>66</v>
      </c>
    </row>
    <row r="8" spans="1:8">
      <c r="A8" s="498">
        <v>1</v>
      </c>
      <c r="B8" s="497" t="s">
        <v>134</v>
      </c>
      <c r="C8" s="674">
        <v>50442643</v>
      </c>
      <c r="D8" s="674">
        <v>3052342.4600000009</v>
      </c>
      <c r="E8" s="674">
        <v>19301237</v>
      </c>
      <c r="F8" s="674"/>
      <c r="G8" s="674">
        <v>75859512</v>
      </c>
      <c r="H8" s="674">
        <f t="shared" ref="H8:H21" si="0">SUM(C8:G8)</f>
        <v>148655734.46000001</v>
      </c>
    </row>
    <row r="9" spans="1:8">
      <c r="A9" s="498">
        <v>2</v>
      </c>
      <c r="B9" s="497" t="s">
        <v>135</v>
      </c>
      <c r="C9" s="674"/>
      <c r="D9" s="674"/>
      <c r="E9" s="674"/>
      <c r="F9" s="674"/>
      <c r="G9" s="674"/>
      <c r="H9" s="674">
        <f t="shared" si="0"/>
        <v>0</v>
      </c>
    </row>
    <row r="10" spans="1:8">
      <c r="A10" s="498">
        <v>3</v>
      </c>
      <c r="B10" s="497" t="s">
        <v>136</v>
      </c>
      <c r="C10" s="674"/>
      <c r="D10" s="674">
        <v>26130377.539999999</v>
      </c>
      <c r="E10" s="674"/>
      <c r="F10" s="674"/>
      <c r="G10" s="674"/>
      <c r="H10" s="674">
        <f t="shared" si="0"/>
        <v>26130377.539999999</v>
      </c>
    </row>
    <row r="11" spans="1:8">
      <c r="A11" s="498">
        <v>4</v>
      </c>
      <c r="B11" s="497" t="s">
        <v>137</v>
      </c>
      <c r="C11" s="674"/>
      <c r="D11" s="674"/>
      <c r="E11" s="674"/>
      <c r="F11" s="674"/>
      <c r="G11" s="674"/>
      <c r="H11" s="674">
        <f t="shared" si="0"/>
        <v>0</v>
      </c>
    </row>
    <row r="12" spans="1:8">
      <c r="A12" s="498">
        <v>5</v>
      </c>
      <c r="B12" s="497" t="s">
        <v>990</v>
      </c>
      <c r="C12" s="674"/>
      <c r="D12" s="674"/>
      <c r="E12" s="674"/>
      <c r="F12" s="674"/>
      <c r="G12" s="674"/>
      <c r="H12" s="674">
        <f t="shared" si="0"/>
        <v>0</v>
      </c>
    </row>
    <row r="13" spans="1:8">
      <c r="A13" s="498">
        <v>6</v>
      </c>
      <c r="B13" s="497" t="s">
        <v>138</v>
      </c>
      <c r="C13" s="674">
        <v>108369568.90000001</v>
      </c>
      <c r="D13" s="674"/>
      <c r="E13" s="674"/>
      <c r="F13" s="674"/>
      <c r="G13" s="674"/>
      <c r="H13" s="674">
        <f t="shared" si="0"/>
        <v>108369568.90000001</v>
      </c>
    </row>
    <row r="14" spans="1:8">
      <c r="A14" s="498">
        <v>7</v>
      </c>
      <c r="B14" s="497" t="s">
        <v>71</v>
      </c>
      <c r="C14" s="727"/>
      <c r="D14" s="727">
        <v>3771480.41</v>
      </c>
      <c r="E14" s="727">
        <v>4167851.88</v>
      </c>
      <c r="F14" s="727">
        <v>13129189.747999994</v>
      </c>
      <c r="G14" s="727"/>
      <c r="H14" s="674">
        <f t="shared" si="0"/>
        <v>21068522.037999995</v>
      </c>
    </row>
    <row r="15" spans="1:8">
      <c r="A15" s="498">
        <v>8</v>
      </c>
      <c r="B15" s="499" t="s">
        <v>72</v>
      </c>
      <c r="C15" s="727">
        <v>19236809.816</v>
      </c>
      <c r="D15" s="727">
        <v>301386959.20691973</v>
      </c>
      <c r="E15" s="727">
        <v>1138819431.6491601</v>
      </c>
      <c r="F15" s="727">
        <v>299183470.80828458</v>
      </c>
      <c r="G15" s="727">
        <v>334345.63999999996</v>
      </c>
      <c r="H15" s="674">
        <f t="shared" si="0"/>
        <v>1758961017.1203644</v>
      </c>
    </row>
    <row r="16" spans="1:8">
      <c r="A16" s="498">
        <v>9</v>
      </c>
      <c r="B16" s="497" t="s">
        <v>991</v>
      </c>
      <c r="C16" s="727">
        <v>494448.66399999999</v>
      </c>
      <c r="D16" s="727">
        <v>2982535.2830861663</v>
      </c>
      <c r="E16" s="727">
        <v>29847042.670879677</v>
      </c>
      <c r="F16" s="727">
        <v>63369957.76371669</v>
      </c>
      <c r="G16" s="727"/>
      <c r="H16" s="674">
        <f t="shared" si="0"/>
        <v>96693984.38168253</v>
      </c>
    </row>
    <row r="17" spans="1:8">
      <c r="A17" s="498">
        <v>10</v>
      </c>
      <c r="B17" s="501" t="s">
        <v>514</v>
      </c>
      <c r="C17" s="727">
        <v>2658748.8699999987</v>
      </c>
      <c r="D17" s="727">
        <v>612763.1399999999</v>
      </c>
      <c r="E17" s="727">
        <v>2227644.6</v>
      </c>
      <c r="F17" s="727">
        <v>1060999.3399999994</v>
      </c>
      <c r="G17" s="727">
        <v>188345.18999999974</v>
      </c>
      <c r="H17" s="674">
        <f t="shared" si="0"/>
        <v>6748501.1399999987</v>
      </c>
    </row>
    <row r="18" spans="1:8">
      <c r="A18" s="498">
        <v>11</v>
      </c>
      <c r="B18" s="497" t="s">
        <v>68</v>
      </c>
      <c r="C18" s="727"/>
      <c r="D18" s="727"/>
      <c r="E18" s="727"/>
      <c r="F18" s="727"/>
      <c r="G18" s="727"/>
      <c r="H18" s="674">
        <f t="shared" si="0"/>
        <v>0</v>
      </c>
    </row>
    <row r="19" spans="1:8">
      <c r="A19" s="498">
        <v>12</v>
      </c>
      <c r="B19" s="497" t="s">
        <v>69</v>
      </c>
      <c r="C19" s="674"/>
      <c r="D19" s="674"/>
      <c r="E19" s="674"/>
      <c r="F19" s="674"/>
      <c r="G19" s="674"/>
      <c r="H19" s="674">
        <f t="shared" si="0"/>
        <v>0</v>
      </c>
    </row>
    <row r="20" spans="1:8">
      <c r="A20" s="500">
        <v>13</v>
      </c>
      <c r="B20" s="499" t="s">
        <v>70</v>
      </c>
      <c r="C20" s="674"/>
      <c r="D20" s="674"/>
      <c r="E20" s="674"/>
      <c r="F20" s="674"/>
      <c r="G20" s="674"/>
      <c r="H20" s="674">
        <f t="shared" si="0"/>
        <v>0</v>
      </c>
    </row>
    <row r="21" spans="1:8">
      <c r="A21" s="498">
        <v>14</v>
      </c>
      <c r="B21" s="497" t="s">
        <v>500</v>
      </c>
      <c r="C21" s="727">
        <v>81533840.479999989</v>
      </c>
      <c r="D21" s="727">
        <v>26407844.890000001</v>
      </c>
      <c r="E21" s="727">
        <v>12607535</v>
      </c>
      <c r="F21" s="727"/>
      <c r="G21" s="727">
        <v>40004854</v>
      </c>
      <c r="H21" s="674">
        <f t="shared" si="0"/>
        <v>160554074.37</v>
      </c>
    </row>
    <row r="22" spans="1:8">
      <c r="A22" s="496">
        <v>15</v>
      </c>
      <c r="B22" s="495" t="s">
        <v>66</v>
      </c>
      <c r="C22" s="674">
        <f t="shared" ref="C22:H22" si="1">SUM(C18:C21)+SUM(C8:C16)</f>
        <v>260077310.86000001</v>
      </c>
      <c r="D22" s="674">
        <f t="shared" si="1"/>
        <v>363731539.79000592</v>
      </c>
      <c r="E22" s="674">
        <f t="shared" si="1"/>
        <v>1204743098.2000399</v>
      </c>
      <c r="F22" s="674">
        <f t="shared" si="1"/>
        <v>375682618.32000124</v>
      </c>
      <c r="G22" s="674">
        <f t="shared" si="1"/>
        <v>116198711.64</v>
      </c>
      <c r="H22" s="674">
        <f t="shared" si="1"/>
        <v>2320433278.8100467</v>
      </c>
    </row>
    <row r="25" spans="1:8" ht="13.8">
      <c r="D25" s="800"/>
      <c r="E25" s="800"/>
      <c r="F25" s="800"/>
      <c r="H25" s="678"/>
    </row>
    <row r="26" spans="1:8" ht="36">
      <c r="B26" s="409" t="s">
        <v>679</v>
      </c>
      <c r="E26" s="678"/>
      <c r="G26" s="677"/>
    </row>
    <row r="27" spans="1:8">
      <c r="G27" s="678"/>
      <c r="H27" s="678"/>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8"/>
  <sheetViews>
    <sheetView showGridLines="0" topLeftCell="C1" zoomScale="90" zoomScaleNormal="90" workbookViewId="0">
      <selection activeCell="G22" sqref="G22"/>
    </sheetView>
  </sheetViews>
  <sheetFormatPr defaultColWidth="9.21875" defaultRowHeight="12"/>
  <cols>
    <col min="1" max="1" width="11.77734375" style="395" bestFit="1" customWidth="1"/>
    <col min="2" max="2" width="86.77734375" style="392" customWidth="1"/>
    <col min="3" max="4" width="31.5546875" style="392" customWidth="1"/>
    <col min="5" max="7" width="22.21875" style="392" customWidth="1"/>
    <col min="8" max="8" width="41.44140625" style="392" customWidth="1"/>
    <col min="9" max="16384" width="9.21875" style="392"/>
  </cols>
  <sheetData>
    <row r="1" spans="1:8" ht="13.8">
      <c r="A1" s="391" t="s">
        <v>108</v>
      </c>
      <c r="B1" s="310" t="str">
        <f>Info!C2</f>
        <v>კრედო</v>
      </c>
      <c r="C1" s="517"/>
      <c r="D1" s="517"/>
      <c r="E1" s="517"/>
      <c r="F1" s="517"/>
      <c r="G1" s="517"/>
      <c r="H1" s="517"/>
    </row>
    <row r="2" spans="1:8">
      <c r="A2" s="391" t="s">
        <v>109</v>
      </c>
      <c r="B2" s="394">
        <f>'1. key ratios'!B2</f>
        <v>45199</v>
      </c>
      <c r="C2" s="517"/>
      <c r="D2" s="517"/>
      <c r="E2" s="517"/>
      <c r="F2" s="517"/>
      <c r="G2" s="517"/>
      <c r="H2" s="517"/>
    </row>
    <row r="3" spans="1:8">
      <c r="A3" s="393" t="s">
        <v>501</v>
      </c>
      <c r="B3" s="517"/>
      <c r="C3" s="517"/>
      <c r="D3" s="517"/>
      <c r="E3" s="517"/>
      <c r="F3" s="517"/>
      <c r="G3" s="517"/>
      <c r="H3" s="517"/>
    </row>
    <row r="4" spans="1:8">
      <c r="A4" s="518"/>
      <c r="B4" s="517"/>
      <c r="C4" s="516" t="s">
        <v>502</v>
      </c>
      <c r="D4" s="516" t="s">
        <v>503</v>
      </c>
      <c r="E4" s="516" t="s">
        <v>504</v>
      </c>
      <c r="F4" s="516" t="s">
        <v>505</v>
      </c>
      <c r="G4" s="516" t="s">
        <v>506</v>
      </c>
      <c r="H4" s="516" t="s">
        <v>507</v>
      </c>
    </row>
    <row r="5" spans="1:8" ht="34.049999999999997" customHeight="1">
      <c r="A5" s="869" t="s">
        <v>870</v>
      </c>
      <c r="B5" s="870"/>
      <c r="C5" s="883" t="s">
        <v>596</v>
      </c>
      <c r="D5" s="883"/>
      <c r="E5" s="883" t="s">
        <v>869</v>
      </c>
      <c r="F5" s="881" t="s">
        <v>868</v>
      </c>
      <c r="G5" s="881" t="s">
        <v>511</v>
      </c>
      <c r="H5" s="514" t="s">
        <v>867</v>
      </c>
    </row>
    <row r="6" spans="1:8" ht="24">
      <c r="A6" s="873"/>
      <c r="B6" s="874"/>
      <c r="C6" s="515" t="s">
        <v>512</v>
      </c>
      <c r="D6" s="515" t="s">
        <v>513</v>
      </c>
      <c r="E6" s="883"/>
      <c r="F6" s="882"/>
      <c r="G6" s="882"/>
      <c r="H6" s="514" t="s">
        <v>866</v>
      </c>
    </row>
    <row r="7" spans="1:8">
      <c r="A7" s="510">
        <v>1</v>
      </c>
      <c r="B7" s="509" t="s">
        <v>134</v>
      </c>
      <c r="C7" s="676"/>
      <c r="D7" s="676">
        <v>148655734.46000001</v>
      </c>
      <c r="E7" s="676"/>
      <c r="F7" s="676"/>
      <c r="G7" s="676"/>
      <c r="H7" s="679">
        <f t="shared" ref="H7:H20" si="0">C7+D7-E7-F7</f>
        <v>148655734.46000001</v>
      </c>
    </row>
    <row r="8" spans="1:8" ht="24">
      <c r="A8" s="510">
        <v>2</v>
      </c>
      <c r="B8" s="509" t="s">
        <v>135</v>
      </c>
      <c r="C8" s="676"/>
      <c r="D8" s="676">
        <v>0</v>
      </c>
      <c r="E8" s="676"/>
      <c r="F8" s="676"/>
      <c r="G8" s="676"/>
      <c r="H8" s="679">
        <f t="shared" si="0"/>
        <v>0</v>
      </c>
    </row>
    <row r="9" spans="1:8">
      <c r="A9" s="510">
        <v>3</v>
      </c>
      <c r="B9" s="509" t="s">
        <v>136</v>
      </c>
      <c r="C9" s="676"/>
      <c r="D9" s="676">
        <v>26130377.539999999</v>
      </c>
      <c r="E9" s="676"/>
      <c r="F9" s="676"/>
      <c r="G9" s="676"/>
      <c r="H9" s="679">
        <f t="shared" si="0"/>
        <v>26130377.539999999</v>
      </c>
    </row>
    <row r="10" spans="1:8">
      <c r="A10" s="510">
        <v>4</v>
      </c>
      <c r="B10" s="509" t="s">
        <v>137</v>
      </c>
      <c r="C10" s="676"/>
      <c r="D10" s="676">
        <v>0</v>
      </c>
      <c r="E10" s="676"/>
      <c r="F10" s="676"/>
      <c r="G10" s="676"/>
      <c r="H10" s="679">
        <f t="shared" si="0"/>
        <v>0</v>
      </c>
    </row>
    <row r="11" spans="1:8">
      <c r="A11" s="510">
        <v>5</v>
      </c>
      <c r="B11" s="509" t="s">
        <v>990</v>
      </c>
      <c r="C11" s="676"/>
      <c r="D11" s="676">
        <v>0</v>
      </c>
      <c r="E11" s="676"/>
      <c r="F11" s="676"/>
      <c r="G11" s="676"/>
      <c r="H11" s="679">
        <f t="shared" si="0"/>
        <v>0</v>
      </c>
    </row>
    <row r="12" spans="1:8">
      <c r="A12" s="510">
        <v>6</v>
      </c>
      <c r="B12" s="509" t="s">
        <v>138</v>
      </c>
      <c r="C12" s="676"/>
      <c r="D12" s="676">
        <v>108369568.90000001</v>
      </c>
      <c r="E12" s="676"/>
      <c r="F12" s="676"/>
      <c r="G12" s="676"/>
      <c r="H12" s="679">
        <f t="shared" si="0"/>
        <v>108369568.90000001</v>
      </c>
    </row>
    <row r="13" spans="1:8">
      <c r="A13" s="510">
        <v>7</v>
      </c>
      <c r="B13" s="509" t="s">
        <v>71</v>
      </c>
      <c r="C13" s="676"/>
      <c r="D13" s="676">
        <v>21131248</v>
      </c>
      <c r="E13" s="676">
        <v>62726</v>
      </c>
      <c r="F13" s="676"/>
      <c r="G13" s="697"/>
      <c r="H13" s="679">
        <f t="shared" si="0"/>
        <v>21068522</v>
      </c>
    </row>
    <row r="14" spans="1:8">
      <c r="A14" s="510">
        <v>8</v>
      </c>
      <c r="B14" s="511" t="s">
        <v>72</v>
      </c>
      <c r="C14" s="676">
        <v>14206927</v>
      </c>
      <c r="D14" s="697">
        <v>1784955967.3015299</v>
      </c>
      <c r="E14" s="676">
        <v>40201877</v>
      </c>
      <c r="F14" s="676"/>
      <c r="G14" s="697">
        <v>18586514</v>
      </c>
      <c r="H14" s="679">
        <f t="shared" si="0"/>
        <v>1758961017.3015299</v>
      </c>
    </row>
    <row r="15" spans="1:8">
      <c r="A15" s="510">
        <v>9</v>
      </c>
      <c r="B15" s="509" t="s">
        <v>991</v>
      </c>
      <c r="C15" s="676">
        <v>12583</v>
      </c>
      <c r="D15" s="697">
        <v>97495255</v>
      </c>
      <c r="E15" s="676">
        <v>813854</v>
      </c>
      <c r="F15" s="676"/>
      <c r="G15" s="697"/>
      <c r="H15" s="679">
        <f t="shared" si="0"/>
        <v>96693984</v>
      </c>
    </row>
    <row r="16" spans="1:8">
      <c r="A16" s="510">
        <v>10</v>
      </c>
      <c r="B16" s="513" t="s">
        <v>514</v>
      </c>
      <c r="C16" s="697">
        <v>13966994</v>
      </c>
      <c r="D16" s="697">
        <v>5115809.5599999996</v>
      </c>
      <c r="E16" s="697">
        <v>12334303</v>
      </c>
      <c r="F16" s="676"/>
      <c r="G16" s="697">
        <v>18586514</v>
      </c>
      <c r="H16" s="679">
        <f t="shared" si="0"/>
        <v>6748500.5599999987</v>
      </c>
    </row>
    <row r="17" spans="1:8">
      <c r="A17" s="510">
        <v>11</v>
      </c>
      <c r="B17" s="509" t="s">
        <v>68</v>
      </c>
      <c r="C17" s="676"/>
      <c r="D17" s="676"/>
      <c r="E17" s="676"/>
      <c r="F17" s="676"/>
      <c r="G17" s="676"/>
      <c r="H17" s="679">
        <f t="shared" si="0"/>
        <v>0</v>
      </c>
    </row>
    <row r="18" spans="1:8">
      <c r="A18" s="510">
        <v>12</v>
      </c>
      <c r="B18" s="509" t="s">
        <v>69</v>
      </c>
      <c r="C18" s="676"/>
      <c r="D18" s="676"/>
      <c r="E18" s="676"/>
      <c r="F18" s="676"/>
      <c r="G18" s="676"/>
      <c r="H18" s="679">
        <f t="shared" si="0"/>
        <v>0</v>
      </c>
    </row>
    <row r="19" spans="1:8">
      <c r="A19" s="512">
        <v>13</v>
      </c>
      <c r="B19" s="511" t="s">
        <v>70</v>
      </c>
      <c r="C19" s="676"/>
      <c r="D19" s="676"/>
      <c r="E19" s="676"/>
      <c r="F19" s="676"/>
      <c r="G19" s="676"/>
      <c r="H19" s="679">
        <f t="shared" si="0"/>
        <v>0</v>
      </c>
    </row>
    <row r="20" spans="1:8">
      <c r="A20" s="510">
        <v>14</v>
      </c>
      <c r="B20" s="509" t="s">
        <v>500</v>
      </c>
      <c r="C20" s="697"/>
      <c r="D20" s="697">
        <v>182991213.52000001</v>
      </c>
      <c r="E20" s="697">
        <v>3805276.19</v>
      </c>
      <c r="F20" s="676"/>
      <c r="G20" s="676"/>
      <c r="H20" s="679">
        <f t="shared" si="0"/>
        <v>179185937.33000001</v>
      </c>
    </row>
    <row r="21" spans="1:8" s="396" customFormat="1">
      <c r="A21" s="508">
        <v>15</v>
      </c>
      <c r="B21" s="507" t="s">
        <v>66</v>
      </c>
      <c r="C21" s="675">
        <f t="shared" ref="C21:H21" si="1">SUM(C7:C15)+SUM(C17:C20)</f>
        <v>14219510</v>
      </c>
      <c r="D21" s="675">
        <f t="shared" si="1"/>
        <v>2369729364.72153</v>
      </c>
      <c r="E21" s="675">
        <f t="shared" si="1"/>
        <v>44883733.189999998</v>
      </c>
      <c r="F21" s="675">
        <f t="shared" si="1"/>
        <v>0</v>
      </c>
      <c r="G21" s="675">
        <f t="shared" si="1"/>
        <v>18586514</v>
      </c>
      <c r="H21" s="679">
        <f t="shared" si="1"/>
        <v>2339065141.5315299</v>
      </c>
    </row>
    <row r="22" spans="1:8">
      <c r="A22" s="506">
        <v>16</v>
      </c>
      <c r="B22" s="505" t="s">
        <v>515</v>
      </c>
      <c r="C22" s="676">
        <f>C14+C15</f>
        <v>14219510</v>
      </c>
      <c r="D22" s="676">
        <f>SUM(D13:D15)</f>
        <v>1903582470.3015299</v>
      </c>
      <c r="E22" s="676">
        <v>41078457</v>
      </c>
      <c r="F22" s="676"/>
      <c r="G22" s="676">
        <v>18586514</v>
      </c>
      <c r="H22" s="503">
        <f>C22+D22-E22-F22</f>
        <v>1876723523.3015299</v>
      </c>
    </row>
    <row r="23" spans="1:8">
      <c r="A23" s="506">
        <v>17</v>
      </c>
      <c r="B23" s="505" t="s">
        <v>516</v>
      </c>
      <c r="C23" s="676"/>
      <c r="D23" s="676">
        <v>48483957</v>
      </c>
      <c r="E23" s="676"/>
      <c r="F23" s="676"/>
      <c r="G23" s="676"/>
      <c r="H23" s="503">
        <f>C23+D23-E23-F23</f>
        <v>48483957</v>
      </c>
    </row>
    <row r="24" spans="1:8">
      <c r="H24" s="728"/>
    </row>
    <row r="25" spans="1:8">
      <c r="D25" s="677"/>
      <c r="E25" s="677"/>
      <c r="F25" s="677"/>
      <c r="G25" s="678"/>
      <c r="H25" s="677"/>
    </row>
    <row r="26" spans="1:8" ht="42.45" customHeight="1">
      <c r="B26" s="409" t="s">
        <v>679</v>
      </c>
      <c r="D26" s="678"/>
      <c r="E26" s="677"/>
      <c r="F26" s="801"/>
      <c r="G26" s="678"/>
      <c r="H26" s="678"/>
    </row>
    <row r="27" spans="1:8">
      <c r="E27" s="677"/>
    </row>
    <row r="28" spans="1:8">
      <c r="D28" s="678"/>
      <c r="E28" s="678"/>
      <c r="H28" s="678"/>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7"/>
  <sheetViews>
    <sheetView showGridLines="0" topLeftCell="C6" zoomScale="90" zoomScaleNormal="90" workbookViewId="0">
      <selection activeCell="E37" sqref="E37"/>
    </sheetView>
  </sheetViews>
  <sheetFormatPr defaultColWidth="9.21875" defaultRowHeight="12"/>
  <cols>
    <col min="1" max="1" width="11" style="392" bestFit="1" customWidth="1"/>
    <col min="2" max="2" width="93.44140625" style="392" customWidth="1"/>
    <col min="3" max="4" width="35" style="392" customWidth="1"/>
    <col min="5" max="7" width="22" style="392" customWidth="1"/>
    <col min="8" max="8" width="42.21875" style="392" bestFit="1" customWidth="1"/>
    <col min="9" max="16384" width="9.21875" style="392"/>
  </cols>
  <sheetData>
    <row r="1" spans="1:8" ht="13.8">
      <c r="A1" s="391" t="s">
        <v>108</v>
      </c>
      <c r="B1" s="310" t="str">
        <f>Info!C2</f>
        <v>კრედო</v>
      </c>
      <c r="C1" s="517"/>
      <c r="D1" s="517"/>
      <c r="E1" s="517"/>
      <c r="F1" s="517"/>
      <c r="G1" s="517"/>
      <c r="H1" s="517"/>
    </row>
    <row r="2" spans="1:8">
      <c r="A2" s="391" t="s">
        <v>109</v>
      </c>
      <c r="B2" s="394">
        <f>'1. key ratios'!B2</f>
        <v>45199</v>
      </c>
      <c r="C2" s="517"/>
      <c r="D2" s="517"/>
      <c r="E2" s="517"/>
      <c r="F2" s="517"/>
      <c r="G2" s="517"/>
      <c r="H2" s="517"/>
    </row>
    <row r="3" spans="1:8">
      <c r="A3" s="393" t="s">
        <v>517</v>
      </c>
      <c r="B3" s="517"/>
      <c r="C3" s="517"/>
      <c r="D3" s="517"/>
      <c r="E3" s="517"/>
      <c r="F3" s="517"/>
      <c r="G3" s="517"/>
      <c r="H3" s="517"/>
    </row>
    <row r="4" spans="1:8">
      <c r="A4" s="517"/>
      <c r="B4" s="517"/>
      <c r="C4" s="516" t="s">
        <v>502</v>
      </c>
      <c r="D4" s="516" t="s">
        <v>503</v>
      </c>
      <c r="E4" s="516" t="s">
        <v>504</v>
      </c>
      <c r="F4" s="516" t="s">
        <v>505</v>
      </c>
      <c r="G4" s="516" t="s">
        <v>506</v>
      </c>
      <c r="H4" s="516" t="s">
        <v>507</v>
      </c>
    </row>
    <row r="5" spans="1:8" ht="41.55" customHeight="1">
      <c r="A5" s="869" t="s">
        <v>872</v>
      </c>
      <c r="B5" s="870"/>
      <c r="C5" s="884" t="s">
        <v>596</v>
      </c>
      <c r="D5" s="885"/>
      <c r="E5" s="881" t="s">
        <v>869</v>
      </c>
      <c r="F5" s="881" t="s">
        <v>868</v>
      </c>
      <c r="G5" s="881" t="s">
        <v>511</v>
      </c>
      <c r="H5" s="514" t="s">
        <v>867</v>
      </c>
    </row>
    <row r="6" spans="1:8" ht="24">
      <c r="A6" s="873"/>
      <c r="B6" s="874"/>
      <c r="C6" s="515" t="s">
        <v>512</v>
      </c>
      <c r="D6" s="515" t="s">
        <v>513</v>
      </c>
      <c r="E6" s="882"/>
      <c r="F6" s="882"/>
      <c r="G6" s="882"/>
      <c r="H6" s="514" t="s">
        <v>866</v>
      </c>
    </row>
    <row r="7" spans="1:8">
      <c r="A7" s="504">
        <v>1</v>
      </c>
      <c r="B7" s="520" t="s">
        <v>518</v>
      </c>
      <c r="C7" s="718">
        <v>201170.55358667689</v>
      </c>
      <c r="D7" s="719">
        <v>180990616.46192369</v>
      </c>
      <c r="E7" s="719">
        <v>629256.08386486908</v>
      </c>
      <c r="F7" s="504"/>
      <c r="G7" s="719">
        <v>180688.4</v>
      </c>
      <c r="H7" s="503">
        <f t="shared" ref="H7:H34" si="0">C7+D7-E7-F7</f>
        <v>180562530.93164551</v>
      </c>
    </row>
    <row r="8" spans="1:8">
      <c r="A8" s="504">
        <v>2</v>
      </c>
      <c r="B8" s="520" t="s">
        <v>519</v>
      </c>
      <c r="C8" s="718">
        <v>9262.906880801942</v>
      </c>
      <c r="D8" s="719">
        <v>145220962.57212073</v>
      </c>
      <c r="E8" s="719">
        <v>107657.87079365821</v>
      </c>
      <c r="F8" s="504"/>
      <c r="G8" s="719">
        <v>46069.289999999994</v>
      </c>
      <c r="H8" s="503">
        <f t="shared" si="0"/>
        <v>145122567.60820785</v>
      </c>
    </row>
    <row r="9" spans="1:8">
      <c r="A9" s="504">
        <v>3</v>
      </c>
      <c r="B9" s="520" t="s">
        <v>871</v>
      </c>
      <c r="C9" s="718">
        <v>82469.96994661662</v>
      </c>
      <c r="D9" s="719">
        <v>6154443.4842774076</v>
      </c>
      <c r="E9" s="719">
        <v>177161.07283661235</v>
      </c>
      <c r="F9" s="504"/>
      <c r="G9" s="719">
        <v>51842.229999999996</v>
      </c>
      <c r="H9" s="503">
        <f t="shared" si="0"/>
        <v>6059752.3813874116</v>
      </c>
    </row>
    <row r="10" spans="1:8">
      <c r="A10" s="504">
        <v>4</v>
      </c>
      <c r="B10" s="520" t="s">
        <v>520</v>
      </c>
      <c r="C10" s="772"/>
      <c r="D10" s="719">
        <v>13257241.053056121</v>
      </c>
      <c r="E10" s="719">
        <v>39247.589496133267</v>
      </c>
      <c r="F10" s="504"/>
      <c r="G10" s="719">
        <v>874.55</v>
      </c>
      <c r="H10" s="503">
        <f t="shared" ref="H10:H31" si="1">C11+D10-E10-F10</f>
        <v>13226091.762642795</v>
      </c>
    </row>
    <row r="11" spans="1:8">
      <c r="A11" s="504">
        <v>5</v>
      </c>
      <c r="B11" s="520" t="s">
        <v>521</v>
      </c>
      <c r="C11" s="718">
        <v>8098.2990828087441</v>
      </c>
      <c r="D11" s="719">
        <v>28070795.450191073</v>
      </c>
      <c r="E11" s="719">
        <v>145597.5693936107</v>
      </c>
      <c r="F11" s="504"/>
      <c r="G11" s="719">
        <v>44977.988581999998</v>
      </c>
      <c r="H11" s="503">
        <f t="shared" si="1"/>
        <v>27987245.366782978</v>
      </c>
    </row>
    <row r="12" spans="1:8">
      <c r="A12" s="504">
        <v>6</v>
      </c>
      <c r="B12" s="520" t="s">
        <v>522</v>
      </c>
      <c r="C12" s="718">
        <v>62047.485985519124</v>
      </c>
      <c r="D12" s="719">
        <v>7057261.2626216225</v>
      </c>
      <c r="E12" s="719">
        <v>154902.46180484098</v>
      </c>
      <c r="F12" s="504"/>
      <c r="G12" s="719">
        <v>54486.810000000005</v>
      </c>
      <c r="H12" s="503">
        <f t="shared" si="1"/>
        <v>6930029.5902991137</v>
      </c>
    </row>
    <row r="13" spans="1:8">
      <c r="A13" s="504">
        <v>7</v>
      </c>
      <c r="B13" s="520" t="s">
        <v>523</v>
      </c>
      <c r="C13" s="718">
        <v>27670.789482332122</v>
      </c>
      <c r="D13" s="719">
        <v>3501728.8195785144</v>
      </c>
      <c r="E13" s="719">
        <v>100538.15602531385</v>
      </c>
      <c r="F13" s="504"/>
      <c r="G13" s="719">
        <v>59463.589999999975</v>
      </c>
      <c r="H13" s="503">
        <f t="shared" si="1"/>
        <v>4267396.4553190172</v>
      </c>
    </row>
    <row r="14" spans="1:8">
      <c r="A14" s="504">
        <v>8</v>
      </c>
      <c r="B14" s="520" t="s">
        <v>524</v>
      </c>
      <c r="C14" s="718">
        <v>866205.79176581663</v>
      </c>
      <c r="D14" s="719">
        <v>135087814.7790783</v>
      </c>
      <c r="E14" s="719">
        <v>2721682.1923293136</v>
      </c>
      <c r="F14" s="504"/>
      <c r="G14" s="719">
        <v>1703665.4800000014</v>
      </c>
      <c r="H14" s="503">
        <f t="shared" si="1"/>
        <v>132540293.51570693</v>
      </c>
    </row>
    <row r="15" spans="1:8">
      <c r="A15" s="504">
        <v>9</v>
      </c>
      <c r="B15" s="520" t="s">
        <v>525</v>
      </c>
      <c r="C15" s="718">
        <v>174160.92895792585</v>
      </c>
      <c r="D15" s="719">
        <v>27763353.630934082</v>
      </c>
      <c r="E15" s="719">
        <v>549031.27711344871</v>
      </c>
      <c r="F15" s="504"/>
      <c r="G15" s="719">
        <v>198571.63792900002</v>
      </c>
      <c r="H15" s="503">
        <f t="shared" si="1"/>
        <v>27310054.182045177</v>
      </c>
    </row>
    <row r="16" spans="1:8">
      <c r="A16" s="504">
        <v>10</v>
      </c>
      <c r="B16" s="520" t="s">
        <v>526</v>
      </c>
      <c r="C16" s="718">
        <v>95731.828224545243</v>
      </c>
      <c r="D16" s="719">
        <v>13238984.650004312</v>
      </c>
      <c r="E16" s="719">
        <v>269691.93594175437</v>
      </c>
      <c r="F16" s="504"/>
      <c r="G16" s="719">
        <v>57286.660000000018</v>
      </c>
      <c r="H16" s="503">
        <f t="shared" si="1"/>
        <v>13037711.661483055</v>
      </c>
    </row>
    <row r="17" spans="1:8">
      <c r="A17" s="504">
        <v>11</v>
      </c>
      <c r="B17" s="520" t="s">
        <v>527</v>
      </c>
      <c r="C17" s="718">
        <v>68418.947420495781</v>
      </c>
      <c r="D17" s="719">
        <v>6638340.3470200859</v>
      </c>
      <c r="E17" s="719">
        <v>194581.21826711821</v>
      </c>
      <c r="F17" s="504"/>
      <c r="G17" s="719">
        <v>161345.16</v>
      </c>
      <c r="H17" s="503">
        <f t="shared" si="1"/>
        <v>6887008.3532647891</v>
      </c>
    </row>
    <row r="18" spans="1:8">
      <c r="A18" s="504">
        <v>12</v>
      </c>
      <c r="B18" s="520" t="s">
        <v>528</v>
      </c>
      <c r="C18" s="718">
        <v>443249.22451182152</v>
      </c>
      <c r="D18" s="719">
        <v>107041474.36570962</v>
      </c>
      <c r="E18" s="719">
        <v>1890432.7746302497</v>
      </c>
      <c r="F18" s="504"/>
      <c r="G18" s="719">
        <v>721636.87294999999</v>
      </c>
      <c r="H18" s="503">
        <f t="shared" si="1"/>
        <v>105471259.14023235</v>
      </c>
    </row>
    <row r="19" spans="1:8">
      <c r="A19" s="504">
        <v>13</v>
      </c>
      <c r="B19" s="520" t="s">
        <v>529</v>
      </c>
      <c r="C19" s="718">
        <v>320217.5491529904</v>
      </c>
      <c r="D19" s="719">
        <v>16301295.55255368</v>
      </c>
      <c r="E19" s="719">
        <v>472103.15254252596</v>
      </c>
      <c r="F19" s="504"/>
      <c r="G19" s="719">
        <v>200410.1415439999</v>
      </c>
      <c r="H19" s="503">
        <f t="shared" si="1"/>
        <v>15872515.542586474</v>
      </c>
    </row>
    <row r="20" spans="1:8">
      <c r="A20" s="504">
        <v>14</v>
      </c>
      <c r="B20" s="520" t="s">
        <v>530</v>
      </c>
      <c r="C20" s="718">
        <v>43323.142575319609</v>
      </c>
      <c r="D20" s="719">
        <v>49322920.21003513</v>
      </c>
      <c r="E20" s="719">
        <v>636415.91441688628</v>
      </c>
      <c r="F20" s="504"/>
      <c r="G20" s="719">
        <v>242481.14365000004</v>
      </c>
      <c r="H20" s="503">
        <f t="shared" si="1"/>
        <v>48878319.514318757</v>
      </c>
    </row>
    <row r="21" spans="1:8">
      <c r="A21" s="504">
        <v>15</v>
      </c>
      <c r="B21" s="520" t="s">
        <v>531</v>
      </c>
      <c r="C21" s="718">
        <v>191815.2187005145</v>
      </c>
      <c r="D21" s="719">
        <v>32308470.756486081</v>
      </c>
      <c r="E21" s="719">
        <v>1265174.1385254778</v>
      </c>
      <c r="F21" s="504"/>
      <c r="G21" s="719">
        <v>274490.64984699991</v>
      </c>
      <c r="H21" s="503">
        <f t="shared" si="1"/>
        <v>31107520.075067516</v>
      </c>
    </row>
    <row r="22" spans="1:8">
      <c r="A22" s="504">
        <v>16</v>
      </c>
      <c r="B22" s="520" t="s">
        <v>532</v>
      </c>
      <c r="C22" s="718">
        <v>64223.457106915361</v>
      </c>
      <c r="D22" s="719">
        <v>9943274.0543597881</v>
      </c>
      <c r="E22" s="719">
        <v>199135.4763572987</v>
      </c>
      <c r="F22" s="504"/>
      <c r="G22" s="719">
        <v>72345.310000000041</v>
      </c>
      <c r="H22" s="503">
        <f t="shared" si="1"/>
        <v>9744357.9680024907</v>
      </c>
    </row>
    <row r="23" spans="1:8">
      <c r="A23" s="504">
        <v>17</v>
      </c>
      <c r="B23" s="520" t="s">
        <v>533</v>
      </c>
      <c r="C23" s="718">
        <v>219.39</v>
      </c>
      <c r="D23" s="719">
        <v>784159.08379218273</v>
      </c>
      <c r="E23" s="719">
        <v>13058.222812471879</v>
      </c>
      <c r="F23" s="504"/>
      <c r="G23" s="719">
        <v>6776.46</v>
      </c>
      <c r="H23" s="503">
        <f t="shared" si="1"/>
        <v>795658.94072896382</v>
      </c>
    </row>
    <row r="24" spans="1:8">
      <c r="A24" s="504">
        <v>18</v>
      </c>
      <c r="B24" s="520" t="s">
        <v>534</v>
      </c>
      <c r="C24" s="718">
        <v>24558.079749252945</v>
      </c>
      <c r="D24" s="719">
        <v>2991058.8600322395</v>
      </c>
      <c r="E24" s="719">
        <v>81648.465626762059</v>
      </c>
      <c r="F24" s="504"/>
      <c r="G24" s="719">
        <v>23126.180000000004</v>
      </c>
      <c r="H24" s="503">
        <f t="shared" si="1"/>
        <v>2931933.3825737182</v>
      </c>
    </row>
    <row r="25" spans="1:8">
      <c r="A25" s="504">
        <v>19</v>
      </c>
      <c r="B25" s="520" t="s">
        <v>535</v>
      </c>
      <c r="C25" s="718">
        <v>22522.988168241096</v>
      </c>
      <c r="D25" s="719">
        <v>4836144.7349083042</v>
      </c>
      <c r="E25" s="719">
        <v>73494.047144166456</v>
      </c>
      <c r="F25" s="504"/>
      <c r="G25" s="719">
        <v>78389.060000000012</v>
      </c>
      <c r="H25" s="503">
        <f t="shared" si="1"/>
        <v>4785913.0903365063</v>
      </c>
    </row>
    <row r="26" spans="1:8">
      <c r="A26" s="504">
        <v>20</v>
      </c>
      <c r="B26" s="520" t="s">
        <v>536</v>
      </c>
      <c r="C26" s="718">
        <v>23262.402572368344</v>
      </c>
      <c r="D26" s="719">
        <v>13306805.171517929</v>
      </c>
      <c r="E26" s="719">
        <v>153798.41564044452</v>
      </c>
      <c r="F26" s="504"/>
      <c r="G26" s="719">
        <v>13794.74</v>
      </c>
      <c r="H26" s="503">
        <f t="shared" si="1"/>
        <v>13153006.935877483</v>
      </c>
    </row>
    <row r="27" spans="1:8">
      <c r="A27" s="504">
        <v>21</v>
      </c>
      <c r="B27" s="520" t="s">
        <v>537</v>
      </c>
      <c r="C27" s="718">
        <v>0.18</v>
      </c>
      <c r="D27" s="719">
        <v>1909822.926821199</v>
      </c>
      <c r="E27" s="719">
        <v>34626.331413007974</v>
      </c>
      <c r="F27" s="504"/>
      <c r="G27" s="719">
        <v>408.50999999999982</v>
      </c>
      <c r="H27" s="503">
        <f t="shared" si="1"/>
        <v>1875829.085408191</v>
      </c>
    </row>
    <row r="28" spans="1:8">
      <c r="A28" s="504">
        <v>22</v>
      </c>
      <c r="B28" s="520" t="s">
        <v>538</v>
      </c>
      <c r="C28" s="718">
        <v>632.49</v>
      </c>
      <c r="D28" s="719">
        <v>627617.3270089858</v>
      </c>
      <c r="E28" s="719">
        <v>8695.9775002967199</v>
      </c>
      <c r="F28" s="504"/>
      <c r="G28" s="719">
        <v>26601.720000000005</v>
      </c>
      <c r="H28" s="503">
        <f t="shared" si="1"/>
        <v>4733475.0489510987</v>
      </c>
    </row>
    <row r="29" spans="1:8">
      <c r="A29" s="504">
        <v>23</v>
      </c>
      <c r="B29" s="520" t="s">
        <v>539</v>
      </c>
      <c r="C29" s="718">
        <v>4114553.6994424104</v>
      </c>
      <c r="D29" s="719">
        <v>417224489.71308607</v>
      </c>
      <c r="E29" s="719">
        <v>10578055.445028357</v>
      </c>
      <c r="F29" s="504"/>
      <c r="G29" s="719">
        <v>4675360.080793987</v>
      </c>
      <c r="H29" s="503">
        <f t="shared" si="1"/>
        <v>412140912.17883575</v>
      </c>
    </row>
    <row r="30" spans="1:8">
      <c r="A30" s="504">
        <v>24</v>
      </c>
      <c r="B30" s="520" t="s">
        <v>540</v>
      </c>
      <c r="C30" s="718">
        <v>5494477.9107780345</v>
      </c>
      <c r="D30" s="719">
        <v>765697326.85180306</v>
      </c>
      <c r="E30" s="719">
        <v>16184666.256915625</v>
      </c>
      <c r="F30" s="504"/>
      <c r="G30" s="719">
        <v>6992078.686784016</v>
      </c>
      <c r="H30" s="503">
        <f t="shared" si="1"/>
        <v>750917825.5462085</v>
      </c>
    </row>
    <row r="31" spans="1:8">
      <c r="A31" s="504">
        <v>25</v>
      </c>
      <c r="B31" s="520" t="s">
        <v>541</v>
      </c>
      <c r="C31" s="718">
        <v>1405164.9513210636</v>
      </c>
      <c r="D31" s="719">
        <v>141048036.43982178</v>
      </c>
      <c r="E31" s="719">
        <v>3055730.2051247768</v>
      </c>
      <c r="F31" s="504"/>
      <c r="G31" s="719">
        <v>2008585.5879199938</v>
      </c>
      <c r="H31" s="503">
        <f t="shared" si="1"/>
        <v>138468359.15954161</v>
      </c>
    </row>
    <row r="32" spans="1:8">
      <c r="A32" s="504">
        <v>26</v>
      </c>
      <c r="B32" s="520" t="s">
        <v>542</v>
      </c>
      <c r="C32" s="771">
        <v>476052.92484459846</v>
      </c>
      <c r="D32" s="719">
        <v>56413711.458437234</v>
      </c>
      <c r="E32" s="719">
        <v>1342074.9301864137</v>
      </c>
      <c r="F32" s="504"/>
      <c r="G32" s="719">
        <v>690757.06000000157</v>
      </c>
      <c r="H32" s="503">
        <f t="shared" si="0"/>
        <v>55547689.453095421</v>
      </c>
    </row>
    <row r="33" spans="1:8">
      <c r="A33" s="504">
        <v>27</v>
      </c>
      <c r="B33" s="504" t="s">
        <v>99</v>
      </c>
      <c r="C33" s="697"/>
      <c r="D33" s="719">
        <v>182991213.52000001</v>
      </c>
      <c r="E33" s="719">
        <v>3805276.19</v>
      </c>
      <c r="F33" s="504"/>
      <c r="G33" s="719"/>
      <c r="H33" s="503">
        <f t="shared" si="0"/>
        <v>179185937.33000001</v>
      </c>
    </row>
    <row r="34" spans="1:8">
      <c r="A34" s="504">
        <v>28</v>
      </c>
      <c r="B34" s="507" t="s">
        <v>66</v>
      </c>
      <c r="C34" s="675">
        <f>SUM(C7:C33)</f>
        <v>14219511.110257071</v>
      </c>
      <c r="D34" s="680">
        <f>SUM(D7:D33)</f>
        <v>2369729363.537179</v>
      </c>
      <c r="E34" s="680">
        <f>SUM(E7:E33)</f>
        <v>44883733.371731438</v>
      </c>
      <c r="F34" s="507">
        <f>SUM(F7:F33)</f>
        <v>0</v>
      </c>
      <c r="G34" s="720">
        <f>SUM(G7:G33)</f>
        <v>18586514</v>
      </c>
      <c r="H34" s="503">
        <f t="shared" si="0"/>
        <v>2339065141.2757049</v>
      </c>
    </row>
    <row r="36" spans="1:8">
      <c r="B36" s="397"/>
      <c r="H36" s="729"/>
    </row>
    <row r="37" spans="1:8">
      <c r="G37" s="729"/>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21"/>
  <sheetViews>
    <sheetView showGridLines="0" zoomScale="90" zoomScaleNormal="90" workbookViewId="0">
      <selection activeCell="C11" sqref="C11"/>
    </sheetView>
  </sheetViews>
  <sheetFormatPr defaultColWidth="9.21875" defaultRowHeight="12"/>
  <cols>
    <col min="1" max="1" width="11.77734375" style="392" bestFit="1" customWidth="1"/>
    <col min="2" max="2" width="108" style="392" bestFit="1" customWidth="1"/>
    <col min="3" max="3" width="35.5546875" style="392" customWidth="1"/>
    <col min="4" max="4" width="38.44140625" style="392" customWidth="1"/>
    <col min="5" max="5" width="16.88671875" style="392" customWidth="1"/>
    <col min="6" max="16384" width="9.21875" style="392"/>
  </cols>
  <sheetData>
    <row r="1" spans="1:6" ht="13.8">
      <c r="A1" s="391" t="s">
        <v>108</v>
      </c>
      <c r="B1" s="310" t="str">
        <f>Info!C2</f>
        <v>კრედო</v>
      </c>
    </row>
    <row r="2" spans="1:6">
      <c r="A2" s="391" t="s">
        <v>109</v>
      </c>
      <c r="B2" s="394">
        <f>'1. key ratios'!B2</f>
        <v>45199</v>
      </c>
    </row>
    <row r="3" spans="1:6">
      <c r="A3" s="393" t="s">
        <v>543</v>
      </c>
    </row>
    <row r="4" spans="1:6">
      <c r="E4" s="985"/>
      <c r="F4" s="986"/>
    </row>
    <row r="5" spans="1:6">
      <c r="A5" s="886" t="s">
        <v>883</v>
      </c>
      <c r="B5" s="886"/>
      <c r="C5" s="528" t="s">
        <v>562</v>
      </c>
      <c r="D5" s="528" t="s">
        <v>882</v>
      </c>
    </row>
    <row r="6" spans="1:6">
      <c r="A6" s="527">
        <v>1</v>
      </c>
      <c r="B6" s="521" t="s">
        <v>881</v>
      </c>
      <c r="C6" s="691">
        <v>42220071.000000007</v>
      </c>
      <c r="D6" s="721"/>
      <c r="E6" s="987"/>
      <c r="F6" s="988"/>
    </row>
    <row r="7" spans="1:6">
      <c r="A7" s="524">
        <v>2</v>
      </c>
      <c r="B7" s="521" t="s">
        <v>880</v>
      </c>
      <c r="C7" s="692">
        <f>SUM(C8:C9)</f>
        <v>30423280</v>
      </c>
      <c r="D7" s="991"/>
      <c r="E7" s="989"/>
      <c r="F7" s="988"/>
    </row>
    <row r="8" spans="1:6">
      <c r="A8" s="526">
        <v>2.1</v>
      </c>
      <c r="B8" s="525" t="s">
        <v>879</v>
      </c>
      <c r="C8" s="691">
        <v>3929846</v>
      </c>
      <c r="D8" s="721"/>
      <c r="E8" s="987"/>
      <c r="F8" s="988"/>
    </row>
    <row r="9" spans="1:6">
      <c r="A9" s="526">
        <v>2.2000000000000002</v>
      </c>
      <c r="B9" s="525" t="s">
        <v>878</v>
      </c>
      <c r="C9" s="691">
        <v>26493434</v>
      </c>
      <c r="D9" s="721"/>
      <c r="E9" s="987"/>
      <c r="F9" s="988"/>
    </row>
    <row r="10" spans="1:6">
      <c r="A10" s="527">
        <v>3</v>
      </c>
      <c r="B10" s="521" t="s">
        <v>877</v>
      </c>
      <c r="C10" s="692">
        <f>SUM(C11:C13)</f>
        <v>31877235</v>
      </c>
      <c r="D10" s="991"/>
      <c r="E10" s="990"/>
      <c r="F10" s="988"/>
    </row>
    <row r="11" spans="1:6">
      <c r="A11" s="526">
        <v>3.1</v>
      </c>
      <c r="B11" s="525" t="s">
        <v>544</v>
      </c>
      <c r="C11" s="721">
        <v>18586514</v>
      </c>
      <c r="D11" s="721"/>
      <c r="E11" s="987"/>
      <c r="F11" s="988"/>
    </row>
    <row r="12" spans="1:6">
      <c r="A12" s="526">
        <v>3.2</v>
      </c>
      <c r="B12" s="525" t="s">
        <v>876</v>
      </c>
      <c r="C12" s="721">
        <v>5758363</v>
      </c>
      <c r="D12" s="721"/>
      <c r="E12" s="987"/>
      <c r="F12" s="988"/>
    </row>
    <row r="13" spans="1:6">
      <c r="A13" s="526">
        <v>3.3</v>
      </c>
      <c r="B13" s="525" t="s">
        <v>875</v>
      </c>
      <c r="C13" s="691">
        <v>7532358</v>
      </c>
      <c r="D13" s="721"/>
      <c r="E13" s="987"/>
      <c r="F13" s="988"/>
    </row>
    <row r="14" spans="1:6">
      <c r="A14" s="524">
        <v>4</v>
      </c>
      <c r="B14" s="523" t="s">
        <v>874</v>
      </c>
      <c r="C14" s="691">
        <v>312341</v>
      </c>
      <c r="D14" s="721"/>
      <c r="E14" s="987"/>
      <c r="F14" s="988"/>
    </row>
    <row r="15" spans="1:6">
      <c r="A15" s="522">
        <v>5</v>
      </c>
      <c r="B15" s="521" t="s">
        <v>873</v>
      </c>
      <c r="C15" s="692">
        <f>C6+C7-C10+C14</f>
        <v>41078457</v>
      </c>
      <c r="D15" s="991"/>
      <c r="E15" s="990"/>
      <c r="F15" s="988"/>
    </row>
    <row r="17" spans="3:3">
      <c r="C17" s="677"/>
    </row>
    <row r="18" spans="3:3">
      <c r="C18" s="678"/>
    </row>
    <row r="19" spans="3:3">
      <c r="C19" s="678"/>
    </row>
    <row r="20" spans="3:3">
      <c r="C20" s="678"/>
    </row>
    <row r="21" spans="3:3">
      <c r="C21" s="678"/>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B25" sqref="B25"/>
    </sheetView>
  </sheetViews>
  <sheetFormatPr defaultColWidth="9.21875" defaultRowHeight="12"/>
  <cols>
    <col min="1" max="1" width="11.77734375" style="517" bestFit="1" customWidth="1"/>
    <col min="2" max="2" width="128.88671875" style="517" bestFit="1" customWidth="1"/>
    <col min="3" max="3" width="37" style="517" customWidth="1"/>
    <col min="4" max="4" width="50.5546875" style="517" customWidth="1"/>
    <col min="5" max="16384" width="9.21875" style="517"/>
  </cols>
  <sheetData>
    <row r="1" spans="1:4" ht="13.8">
      <c r="A1" s="391" t="s">
        <v>108</v>
      </c>
      <c r="B1" s="310" t="str">
        <f>Info!C2</f>
        <v>კრედო</v>
      </c>
    </row>
    <row r="2" spans="1:4">
      <c r="A2" s="391" t="s">
        <v>109</v>
      </c>
      <c r="B2" s="394">
        <f>'1. key ratios'!B2</f>
        <v>45199</v>
      </c>
    </row>
    <row r="3" spans="1:4">
      <c r="A3" s="393" t="s">
        <v>545</v>
      </c>
    </row>
    <row r="4" spans="1:4">
      <c r="A4" s="393"/>
    </row>
    <row r="5" spans="1:4" ht="15" customHeight="1">
      <c r="A5" s="887" t="s">
        <v>546</v>
      </c>
      <c r="B5" s="888"/>
      <c r="C5" s="891" t="s">
        <v>547</v>
      </c>
      <c r="D5" s="891" t="s">
        <v>548</v>
      </c>
    </row>
    <row r="6" spans="1:4">
      <c r="A6" s="889"/>
      <c r="B6" s="890"/>
      <c r="C6" s="891"/>
      <c r="D6" s="891"/>
    </row>
    <row r="7" spans="1:4">
      <c r="A7" s="507">
        <v>1</v>
      </c>
      <c r="B7" s="507" t="s">
        <v>549</v>
      </c>
      <c r="C7" s="676">
        <v>15053101</v>
      </c>
      <c r="D7" s="529"/>
    </row>
    <row r="8" spans="1:4">
      <c r="A8" s="504">
        <v>2</v>
      </c>
      <c r="B8" s="504" t="s">
        <v>550</v>
      </c>
      <c r="C8" s="676">
        <v>18262729</v>
      </c>
      <c r="D8" s="529"/>
    </row>
    <row r="9" spans="1:4">
      <c r="A9" s="504">
        <v>3</v>
      </c>
      <c r="B9" s="532" t="s">
        <v>551</v>
      </c>
      <c r="C9" s="676">
        <v>19039.496969943557</v>
      </c>
      <c r="D9" s="529"/>
    </row>
    <row r="10" spans="1:4">
      <c r="A10" s="504">
        <v>4</v>
      </c>
      <c r="B10" s="504" t="s">
        <v>552</v>
      </c>
      <c r="C10" s="675">
        <f>SUM(C11:C17)</f>
        <v>19115358.307463914</v>
      </c>
      <c r="D10" s="529"/>
    </row>
    <row r="11" spans="1:4">
      <c r="A11" s="504">
        <v>5</v>
      </c>
      <c r="B11" s="531" t="s">
        <v>884</v>
      </c>
      <c r="C11" s="676"/>
      <c r="D11" s="529"/>
    </row>
    <row r="12" spans="1:4">
      <c r="A12" s="504">
        <v>6</v>
      </c>
      <c r="B12" s="531" t="s">
        <v>553</v>
      </c>
      <c r="C12" s="697">
        <v>526567.36523851333</v>
      </c>
      <c r="D12" s="529"/>
    </row>
    <row r="13" spans="1:4">
      <c r="A13" s="504">
        <v>7</v>
      </c>
      <c r="B13" s="531" t="s">
        <v>556</v>
      </c>
      <c r="C13" s="697">
        <v>18586514</v>
      </c>
      <c r="D13" s="529"/>
    </row>
    <row r="14" spans="1:4">
      <c r="A14" s="504">
        <v>8</v>
      </c>
      <c r="B14" s="531" t="s">
        <v>554</v>
      </c>
      <c r="C14" s="676"/>
      <c r="D14" s="504"/>
    </row>
    <row r="15" spans="1:4">
      <c r="A15" s="504">
        <v>9</v>
      </c>
      <c r="B15" s="531" t="s">
        <v>555</v>
      </c>
      <c r="C15" s="676"/>
      <c r="D15" s="504"/>
    </row>
    <row r="16" spans="1:4">
      <c r="A16" s="504">
        <v>10</v>
      </c>
      <c r="B16" s="531" t="s">
        <v>557</v>
      </c>
      <c r="C16" s="676"/>
      <c r="D16" s="504"/>
    </row>
    <row r="17" spans="1:4">
      <c r="A17" s="504">
        <v>11</v>
      </c>
      <c r="B17" s="531" t="s">
        <v>558</v>
      </c>
      <c r="C17" s="676">
        <v>2276.9422253994899</v>
      </c>
      <c r="D17" s="529"/>
    </row>
    <row r="18" spans="1:4">
      <c r="A18" s="507">
        <v>12</v>
      </c>
      <c r="B18" s="530" t="s">
        <v>559</v>
      </c>
      <c r="C18" s="675">
        <f>C7+C8+C9-C10</f>
        <v>14219511.189506028</v>
      </c>
      <c r="D18" s="529"/>
    </row>
    <row r="21" spans="1:4">
      <c r="B21" s="391"/>
      <c r="C21" s="791"/>
    </row>
    <row r="22" spans="1:4">
      <c r="B22" s="391"/>
    </row>
    <row r="23" spans="1:4">
      <c r="B23" s="393"/>
    </row>
    <row r="24" spans="1:4">
      <c r="C24" s="79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tabSelected="1" topLeftCell="K1" zoomScale="90" zoomScaleNormal="90" workbookViewId="0">
      <selection activeCell="Q32" sqref="Q32"/>
    </sheetView>
  </sheetViews>
  <sheetFormatPr defaultColWidth="9.21875" defaultRowHeight="12"/>
  <cols>
    <col min="1" max="1" width="11.77734375" style="517" bestFit="1" customWidth="1"/>
    <col min="2" max="2" width="63.88671875" style="517" customWidth="1"/>
    <col min="3" max="3" width="15.5546875" style="517" customWidth="1"/>
    <col min="4" max="18" width="22.21875" style="517" customWidth="1"/>
    <col min="19" max="19" width="23.21875" style="517" bestFit="1" customWidth="1"/>
    <col min="20" max="26" width="22.21875" style="517" customWidth="1"/>
    <col min="27" max="27" width="23.21875" style="517" bestFit="1" customWidth="1"/>
    <col min="28" max="28" width="20" style="517" customWidth="1"/>
    <col min="29" max="16384" width="9.21875" style="517"/>
  </cols>
  <sheetData>
    <row r="1" spans="1:28" ht="13.8">
      <c r="A1" s="391" t="s">
        <v>108</v>
      </c>
      <c r="B1" s="310" t="str">
        <f>Info!C2</f>
        <v>კრედო</v>
      </c>
    </row>
    <row r="2" spans="1:28">
      <c r="A2" s="391" t="s">
        <v>109</v>
      </c>
      <c r="B2" s="394">
        <f>'1. key ratios'!B2</f>
        <v>45199</v>
      </c>
      <c r="C2" s="518"/>
    </row>
    <row r="3" spans="1:28">
      <c r="A3" s="393" t="s">
        <v>560</v>
      </c>
    </row>
    <row r="5" spans="1:28" ht="15" customHeight="1">
      <c r="A5" s="892" t="s">
        <v>897</v>
      </c>
      <c r="B5" s="893"/>
      <c r="C5" s="884" t="s">
        <v>896</v>
      </c>
      <c r="D5" s="898"/>
      <c r="E5" s="898"/>
      <c r="F5" s="898"/>
      <c r="G5" s="898"/>
      <c r="H5" s="898"/>
      <c r="I5" s="898"/>
      <c r="J5" s="898"/>
      <c r="K5" s="898"/>
      <c r="L5" s="898"/>
      <c r="M5" s="898"/>
      <c r="N5" s="898"/>
      <c r="O5" s="898"/>
      <c r="P5" s="898"/>
      <c r="Q5" s="898"/>
      <c r="R5" s="898"/>
      <c r="S5" s="898"/>
      <c r="T5" s="543"/>
      <c r="U5" s="543"/>
      <c r="V5" s="543"/>
      <c r="W5" s="543"/>
      <c r="X5" s="543"/>
      <c r="Y5" s="543"/>
      <c r="Z5" s="543"/>
      <c r="AA5" s="542"/>
      <c r="AB5" s="535"/>
    </row>
    <row r="6" spans="1:28">
      <c r="A6" s="894"/>
      <c r="B6" s="895"/>
      <c r="C6" s="899" t="s">
        <v>66</v>
      </c>
      <c r="D6" s="901" t="s">
        <v>895</v>
      </c>
      <c r="E6" s="901"/>
      <c r="F6" s="901"/>
      <c r="G6" s="901"/>
      <c r="H6" s="902" t="s">
        <v>894</v>
      </c>
      <c r="I6" s="903"/>
      <c r="J6" s="903"/>
      <c r="K6" s="904"/>
      <c r="L6" s="540"/>
      <c r="M6" s="905" t="s">
        <v>893</v>
      </c>
      <c r="N6" s="905"/>
      <c r="O6" s="905"/>
      <c r="P6" s="905"/>
      <c r="Q6" s="905"/>
      <c r="R6" s="905"/>
      <c r="S6" s="882"/>
      <c r="T6" s="541"/>
      <c r="U6" s="885" t="s">
        <v>892</v>
      </c>
      <c r="V6" s="885"/>
      <c r="W6" s="885"/>
      <c r="X6" s="885"/>
      <c r="Y6" s="885"/>
      <c r="Z6" s="885"/>
      <c r="AA6" s="883"/>
      <c r="AB6" s="540"/>
    </row>
    <row r="7" spans="1:28" ht="24">
      <c r="A7" s="896"/>
      <c r="B7" s="897"/>
      <c r="C7" s="900"/>
      <c r="D7" s="539"/>
      <c r="E7" s="514" t="s">
        <v>561</v>
      </c>
      <c r="F7" s="514" t="s">
        <v>890</v>
      </c>
      <c r="G7" s="514" t="s">
        <v>891</v>
      </c>
      <c r="H7" s="538"/>
      <c r="I7" s="514" t="s">
        <v>561</v>
      </c>
      <c r="J7" s="514" t="s">
        <v>890</v>
      </c>
      <c r="K7" s="514" t="s">
        <v>891</v>
      </c>
      <c r="L7" s="537"/>
      <c r="M7" s="514" t="s">
        <v>561</v>
      </c>
      <c r="N7" s="514" t="s">
        <v>890</v>
      </c>
      <c r="O7" s="514" t="s">
        <v>889</v>
      </c>
      <c r="P7" s="514" t="s">
        <v>888</v>
      </c>
      <c r="Q7" s="514" t="s">
        <v>887</v>
      </c>
      <c r="R7" s="514" t="s">
        <v>886</v>
      </c>
      <c r="S7" s="514" t="s">
        <v>885</v>
      </c>
      <c r="T7" s="536"/>
      <c r="U7" s="514" t="s">
        <v>561</v>
      </c>
      <c r="V7" s="514" t="s">
        <v>890</v>
      </c>
      <c r="W7" s="514" t="s">
        <v>889</v>
      </c>
      <c r="X7" s="514" t="s">
        <v>888</v>
      </c>
      <c r="Y7" s="514" t="s">
        <v>887</v>
      </c>
      <c r="Z7" s="514" t="s">
        <v>886</v>
      </c>
      <c r="AA7" s="514" t="s">
        <v>885</v>
      </c>
      <c r="AB7" s="535"/>
    </row>
    <row r="8" spans="1:28">
      <c r="A8" s="534">
        <v>1</v>
      </c>
      <c r="B8" s="507" t="s">
        <v>562</v>
      </c>
      <c r="C8" s="675">
        <f>SUM(C9:C14)</f>
        <v>1917801980.2273972</v>
      </c>
      <c r="D8" s="675">
        <f t="shared" ref="D8:AA8" si="0">SUM(D9:D14)</f>
        <v>1817959858.3347297</v>
      </c>
      <c r="E8" s="675">
        <f t="shared" si="0"/>
        <v>9679022.6555887628</v>
      </c>
      <c r="F8" s="675">
        <f t="shared" si="0"/>
        <v>0</v>
      </c>
      <c r="G8" s="675">
        <f t="shared" si="0"/>
        <v>0</v>
      </c>
      <c r="H8" s="675">
        <f t="shared" si="0"/>
        <v>85622610.782410488</v>
      </c>
      <c r="I8" s="675">
        <f t="shared" si="0"/>
        <v>3312554.8053338677</v>
      </c>
      <c r="J8" s="675">
        <f t="shared" si="0"/>
        <v>15026744.650020249</v>
      </c>
      <c r="K8" s="675">
        <f t="shared" si="0"/>
        <v>0</v>
      </c>
      <c r="L8" s="675">
        <f t="shared" si="0"/>
        <v>13966994.600257082</v>
      </c>
      <c r="M8" s="675">
        <f t="shared" si="0"/>
        <v>332449.54077474884</v>
      </c>
      <c r="N8" s="675">
        <f t="shared" si="0"/>
        <v>297742.98816878261</v>
      </c>
      <c r="O8" s="675">
        <f t="shared" si="0"/>
        <v>12434469.110735824</v>
      </c>
      <c r="P8" s="675">
        <f t="shared" si="0"/>
        <v>0</v>
      </c>
      <c r="Q8" s="675">
        <f t="shared" si="0"/>
        <v>0</v>
      </c>
      <c r="R8" s="675">
        <f t="shared" si="0"/>
        <v>0</v>
      </c>
      <c r="S8" s="675">
        <f t="shared" si="0"/>
        <v>0</v>
      </c>
      <c r="T8" s="675">
        <f t="shared" si="0"/>
        <v>252516.51000000004</v>
      </c>
      <c r="U8" s="675">
        <f t="shared" si="0"/>
        <v>0</v>
      </c>
      <c r="V8" s="675">
        <f t="shared" si="0"/>
        <v>17288.760000000002</v>
      </c>
      <c r="W8" s="675">
        <f t="shared" si="0"/>
        <v>0</v>
      </c>
      <c r="X8" s="675">
        <f t="shared" si="0"/>
        <v>0</v>
      </c>
      <c r="Y8" s="675">
        <f t="shared" si="0"/>
        <v>0</v>
      </c>
      <c r="Z8" s="675">
        <f t="shared" si="0"/>
        <v>0</v>
      </c>
      <c r="AA8" s="675">
        <f t="shared" si="0"/>
        <v>0</v>
      </c>
    </row>
    <row r="9" spans="1:28">
      <c r="A9" s="504">
        <v>1.1000000000000001</v>
      </c>
      <c r="B9" s="524" t="s">
        <v>563</v>
      </c>
      <c r="C9" s="524"/>
      <c r="D9" s="504"/>
      <c r="E9" s="504"/>
      <c r="F9" s="504"/>
      <c r="G9" s="504"/>
      <c r="H9" s="504"/>
      <c r="I9" s="504"/>
      <c r="J9" s="504"/>
      <c r="K9" s="504"/>
      <c r="L9" s="504"/>
      <c r="M9" s="504"/>
      <c r="N9" s="504"/>
      <c r="O9" s="504"/>
      <c r="P9" s="504"/>
      <c r="Q9" s="504"/>
      <c r="R9" s="504"/>
      <c r="S9" s="504"/>
      <c r="T9" s="504"/>
      <c r="U9" s="504"/>
      <c r="V9" s="504"/>
      <c r="W9" s="504"/>
      <c r="X9" s="504"/>
      <c r="Y9" s="504"/>
      <c r="Z9" s="504"/>
      <c r="AA9" s="504"/>
    </row>
    <row r="10" spans="1:28">
      <c r="A10" s="504">
        <v>1.2</v>
      </c>
      <c r="B10" s="524" t="s">
        <v>564</v>
      </c>
      <c r="C10" s="524"/>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row>
    <row r="11" spans="1:28">
      <c r="A11" s="504">
        <v>1.3</v>
      </c>
      <c r="B11" s="524" t="s">
        <v>565</v>
      </c>
      <c r="C11" s="52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row>
    <row r="12" spans="1:28">
      <c r="A12" s="504">
        <v>1.4</v>
      </c>
      <c r="B12" s="524" t="s">
        <v>566</v>
      </c>
      <c r="C12" s="524"/>
      <c r="D12" s="676"/>
      <c r="E12" s="504"/>
      <c r="F12" s="504"/>
      <c r="G12" s="504"/>
      <c r="H12" s="504"/>
      <c r="I12" s="504"/>
      <c r="J12" s="504"/>
      <c r="K12" s="504"/>
      <c r="L12" s="504"/>
      <c r="M12" s="504"/>
      <c r="N12" s="504"/>
      <c r="O12" s="504"/>
      <c r="P12" s="504"/>
      <c r="Q12" s="504"/>
      <c r="R12" s="504"/>
      <c r="S12" s="504"/>
      <c r="T12" s="504"/>
      <c r="U12" s="504"/>
      <c r="V12" s="504"/>
      <c r="W12" s="504"/>
      <c r="X12" s="504"/>
      <c r="Y12" s="504"/>
      <c r="Z12" s="504"/>
      <c r="AA12" s="504"/>
    </row>
    <row r="13" spans="1:28">
      <c r="A13" s="504">
        <v>1.5</v>
      </c>
      <c r="B13" s="524" t="s">
        <v>567</v>
      </c>
      <c r="C13" s="681">
        <f>D13+H13+L13+T13</f>
        <v>98990514.46935147</v>
      </c>
      <c r="D13" s="676">
        <v>96387706.75592728</v>
      </c>
      <c r="E13" s="676">
        <v>33313.001174150086</v>
      </c>
      <c r="F13" s="504"/>
      <c r="G13" s="504"/>
      <c r="H13" s="676">
        <v>2567758.5860364656</v>
      </c>
      <c r="I13" s="676"/>
      <c r="J13" s="676">
        <v>92711.573958588502</v>
      </c>
      <c r="K13" s="676"/>
      <c r="L13" s="676">
        <v>32063.51738773095</v>
      </c>
      <c r="M13" s="504"/>
      <c r="N13" s="504"/>
      <c r="O13" s="676">
        <v>32063.51738773095</v>
      </c>
      <c r="P13" s="504"/>
      <c r="Q13" s="504"/>
      <c r="R13" s="504"/>
      <c r="S13" s="504"/>
      <c r="T13" s="676">
        <v>2985.61</v>
      </c>
      <c r="U13" s="676"/>
      <c r="V13" s="676"/>
      <c r="W13" s="504"/>
      <c r="X13" s="504"/>
      <c r="Y13" s="504"/>
      <c r="Z13" s="504"/>
      <c r="AA13" s="504"/>
    </row>
    <row r="14" spans="1:28">
      <c r="A14" s="504">
        <v>1.6</v>
      </c>
      <c r="B14" s="524" t="s">
        <v>568</v>
      </c>
      <c r="C14" s="681">
        <f>D14+H14+L14+T14</f>
        <v>1818811465.7580457</v>
      </c>
      <c r="D14" s="676">
        <v>1721572151.5788023</v>
      </c>
      <c r="E14" s="676">
        <v>9645709.6544146128</v>
      </c>
      <c r="F14" s="504"/>
      <c r="G14" s="504"/>
      <c r="H14" s="676">
        <v>83054852.196374029</v>
      </c>
      <c r="I14" s="676">
        <v>3312554.8053338677</v>
      </c>
      <c r="J14" s="676">
        <v>14934033.07606166</v>
      </c>
      <c r="K14" s="676"/>
      <c r="L14" s="676">
        <v>13934931.082869351</v>
      </c>
      <c r="M14" s="676">
        <v>332449.54077474884</v>
      </c>
      <c r="N14" s="697">
        <v>297742.98816878261</v>
      </c>
      <c r="O14" s="697">
        <v>12402405.593348093</v>
      </c>
      <c r="P14" s="697"/>
      <c r="Q14" s="504"/>
      <c r="R14" s="504"/>
      <c r="S14" s="504"/>
      <c r="T14" s="676">
        <v>249530.90000000005</v>
      </c>
      <c r="U14" s="676"/>
      <c r="V14" s="676">
        <v>17288.760000000002</v>
      </c>
      <c r="W14" s="504"/>
      <c r="X14" s="698"/>
      <c r="Y14" s="504"/>
      <c r="Z14" s="504"/>
      <c r="AA14" s="504"/>
    </row>
    <row r="15" spans="1:28">
      <c r="A15" s="534">
        <v>2</v>
      </c>
      <c r="B15" s="507" t="s">
        <v>569</v>
      </c>
      <c r="C15" s="684">
        <f t="shared" ref="C15:C20" si="1">D15+H15+L15+T15</f>
        <v>48483957</v>
      </c>
      <c r="D15" s="683">
        <f>SUM(D16:D21)</f>
        <v>48483957</v>
      </c>
      <c r="E15" s="683">
        <f t="shared" ref="E15:AA15" si="2">SUM(E16:E21)</f>
        <v>0</v>
      </c>
      <c r="F15" s="683">
        <f t="shared" si="2"/>
        <v>0</v>
      </c>
      <c r="G15" s="683">
        <f t="shared" si="2"/>
        <v>0</v>
      </c>
      <c r="H15" s="683">
        <f t="shared" si="2"/>
        <v>0</v>
      </c>
      <c r="I15" s="683">
        <f t="shared" si="2"/>
        <v>0</v>
      </c>
      <c r="J15" s="683">
        <f t="shared" si="2"/>
        <v>0</v>
      </c>
      <c r="K15" s="683">
        <f t="shared" si="2"/>
        <v>0</v>
      </c>
      <c r="L15" s="683">
        <f t="shared" si="2"/>
        <v>0</v>
      </c>
      <c r="M15" s="683">
        <f t="shared" si="2"/>
        <v>0</v>
      </c>
      <c r="N15" s="683">
        <f t="shared" si="2"/>
        <v>0</v>
      </c>
      <c r="O15" s="683">
        <f t="shared" si="2"/>
        <v>0</v>
      </c>
      <c r="P15" s="683">
        <f t="shared" si="2"/>
        <v>0</v>
      </c>
      <c r="Q15" s="683">
        <f t="shared" si="2"/>
        <v>0</v>
      </c>
      <c r="R15" s="683">
        <f t="shared" si="2"/>
        <v>0</v>
      </c>
      <c r="S15" s="683">
        <f t="shared" si="2"/>
        <v>0</v>
      </c>
      <c r="T15" s="683">
        <f t="shared" si="2"/>
        <v>0</v>
      </c>
      <c r="U15" s="683">
        <f t="shared" si="2"/>
        <v>0</v>
      </c>
      <c r="V15" s="683">
        <f t="shared" si="2"/>
        <v>0</v>
      </c>
      <c r="W15" s="683">
        <f t="shared" si="2"/>
        <v>0</v>
      </c>
      <c r="X15" s="683">
        <f t="shared" si="2"/>
        <v>0</v>
      </c>
      <c r="Y15" s="683">
        <f t="shared" si="2"/>
        <v>0</v>
      </c>
      <c r="Z15" s="683">
        <f t="shared" si="2"/>
        <v>0</v>
      </c>
      <c r="AA15" s="683">
        <f t="shared" si="2"/>
        <v>0</v>
      </c>
    </row>
    <row r="16" spans="1:28">
      <c r="A16" s="504">
        <v>2.1</v>
      </c>
      <c r="B16" s="524" t="s">
        <v>563</v>
      </c>
      <c r="C16" s="681">
        <f t="shared" si="1"/>
        <v>0</v>
      </c>
      <c r="D16" s="676"/>
      <c r="E16" s="676"/>
      <c r="F16" s="676"/>
      <c r="G16" s="676"/>
      <c r="H16" s="676"/>
      <c r="I16" s="676"/>
      <c r="J16" s="676"/>
      <c r="K16" s="676"/>
      <c r="L16" s="676"/>
      <c r="M16" s="676"/>
      <c r="N16" s="676"/>
      <c r="O16" s="676"/>
      <c r="P16" s="676"/>
      <c r="Q16" s="676"/>
      <c r="R16" s="676"/>
      <c r="S16" s="676"/>
      <c r="T16" s="676"/>
      <c r="U16" s="676"/>
      <c r="V16" s="676"/>
      <c r="W16" s="676"/>
      <c r="X16" s="676"/>
      <c r="Y16" s="676"/>
      <c r="Z16" s="676"/>
      <c r="AA16" s="676"/>
    </row>
    <row r="17" spans="1:27">
      <c r="A17" s="504">
        <v>2.2000000000000002</v>
      </c>
      <c r="B17" s="524" t="s">
        <v>564</v>
      </c>
      <c r="C17" s="681">
        <f t="shared" si="1"/>
        <v>22353579.460000001</v>
      </c>
      <c r="D17" s="676">
        <v>22353579.460000001</v>
      </c>
      <c r="E17" s="676"/>
      <c r="F17" s="676"/>
      <c r="G17" s="676"/>
      <c r="H17" s="676"/>
      <c r="I17" s="676"/>
      <c r="J17" s="676"/>
      <c r="K17" s="676"/>
      <c r="L17" s="676"/>
      <c r="M17" s="676"/>
      <c r="N17" s="676"/>
      <c r="O17" s="676"/>
      <c r="P17" s="676"/>
      <c r="Q17" s="676"/>
      <c r="R17" s="676"/>
      <c r="S17" s="676"/>
      <c r="T17" s="676"/>
      <c r="U17" s="676"/>
      <c r="V17" s="676"/>
      <c r="W17" s="676"/>
      <c r="X17" s="676"/>
      <c r="Y17" s="676"/>
      <c r="Z17" s="676"/>
      <c r="AA17" s="676"/>
    </row>
    <row r="18" spans="1:27">
      <c r="A18" s="504">
        <v>2.2999999999999998</v>
      </c>
      <c r="B18" s="524" t="s">
        <v>565</v>
      </c>
      <c r="C18" s="681">
        <f t="shared" si="1"/>
        <v>26130377.539999999</v>
      </c>
      <c r="D18" s="676">
        <v>26130377.539999999</v>
      </c>
      <c r="E18" s="676"/>
      <c r="F18" s="676"/>
      <c r="G18" s="676"/>
      <c r="H18" s="676"/>
      <c r="I18" s="676"/>
      <c r="J18" s="676"/>
      <c r="K18" s="676"/>
      <c r="L18" s="676"/>
      <c r="M18" s="676"/>
      <c r="N18" s="676"/>
      <c r="O18" s="676"/>
      <c r="P18" s="676"/>
      <c r="Q18" s="676"/>
      <c r="R18" s="676"/>
      <c r="S18" s="676"/>
      <c r="T18" s="676"/>
      <c r="U18" s="676"/>
      <c r="V18" s="676"/>
      <c r="W18" s="676"/>
      <c r="X18" s="676"/>
      <c r="Y18" s="676"/>
      <c r="Z18" s="676"/>
      <c r="AA18" s="676"/>
    </row>
    <row r="19" spans="1:27">
      <c r="A19" s="504">
        <v>2.4</v>
      </c>
      <c r="B19" s="524" t="s">
        <v>566</v>
      </c>
      <c r="C19" s="681">
        <f t="shared" si="1"/>
        <v>0</v>
      </c>
      <c r="D19" s="676"/>
      <c r="E19" s="676"/>
      <c r="F19" s="676"/>
      <c r="G19" s="676"/>
      <c r="H19" s="676"/>
      <c r="I19" s="676"/>
      <c r="J19" s="676"/>
      <c r="K19" s="676"/>
      <c r="L19" s="676"/>
      <c r="M19" s="676"/>
      <c r="N19" s="676"/>
      <c r="O19" s="676"/>
      <c r="P19" s="676"/>
      <c r="Q19" s="676"/>
      <c r="R19" s="676"/>
      <c r="S19" s="676"/>
      <c r="T19" s="676"/>
      <c r="U19" s="676"/>
      <c r="V19" s="676"/>
      <c r="W19" s="676"/>
      <c r="X19" s="676"/>
      <c r="Y19" s="676"/>
      <c r="Z19" s="676"/>
      <c r="AA19" s="676"/>
    </row>
    <row r="20" spans="1:27">
      <c r="A20" s="504">
        <v>2.5</v>
      </c>
      <c r="B20" s="524" t="s">
        <v>567</v>
      </c>
      <c r="C20" s="681">
        <f t="shared" si="1"/>
        <v>0</v>
      </c>
      <c r="D20" s="676"/>
      <c r="E20" s="676"/>
      <c r="F20" s="676"/>
      <c r="G20" s="676"/>
      <c r="H20" s="676"/>
      <c r="I20" s="676"/>
      <c r="J20" s="676"/>
      <c r="K20" s="676"/>
      <c r="L20" s="676"/>
      <c r="M20" s="676"/>
      <c r="N20" s="676"/>
      <c r="O20" s="676"/>
      <c r="P20" s="676"/>
      <c r="Q20" s="676"/>
      <c r="R20" s="676"/>
      <c r="S20" s="676"/>
      <c r="T20" s="676"/>
      <c r="U20" s="676"/>
      <c r="V20" s="676"/>
      <c r="W20" s="676"/>
      <c r="X20" s="676"/>
      <c r="Y20" s="676"/>
      <c r="Z20" s="676"/>
      <c r="AA20" s="676"/>
    </row>
    <row r="21" spans="1:27">
      <c r="A21" s="504">
        <v>2.6</v>
      </c>
      <c r="B21" s="524" t="s">
        <v>568</v>
      </c>
      <c r="C21" s="681">
        <f>D21+H21+L21+T21</f>
        <v>0</v>
      </c>
      <c r="D21" s="676"/>
      <c r="E21" s="676"/>
      <c r="F21" s="676"/>
      <c r="G21" s="676"/>
      <c r="H21" s="676"/>
      <c r="I21" s="676"/>
      <c r="J21" s="676"/>
      <c r="K21" s="676"/>
      <c r="L21" s="676"/>
      <c r="M21" s="676"/>
      <c r="N21" s="676"/>
      <c r="O21" s="676"/>
      <c r="P21" s="676"/>
      <c r="Q21" s="676"/>
      <c r="R21" s="676"/>
      <c r="S21" s="676"/>
      <c r="T21" s="676"/>
      <c r="U21" s="676"/>
      <c r="V21" s="676"/>
      <c r="W21" s="676"/>
      <c r="X21" s="676"/>
      <c r="Y21" s="676"/>
      <c r="Z21" s="676"/>
      <c r="AA21" s="676"/>
    </row>
    <row r="22" spans="1:27">
      <c r="A22" s="534">
        <v>3</v>
      </c>
      <c r="B22" s="507" t="s">
        <v>570</v>
      </c>
      <c r="C22" s="675">
        <f>C27+C28</f>
        <v>48217748.61999999</v>
      </c>
      <c r="D22" s="675"/>
      <c r="E22" s="533"/>
      <c r="F22" s="533"/>
      <c r="G22" s="533"/>
      <c r="H22" s="507"/>
      <c r="I22" s="533"/>
      <c r="J22" s="533"/>
      <c r="K22" s="533"/>
      <c r="L22" s="507"/>
      <c r="M22" s="533"/>
      <c r="N22" s="533"/>
      <c r="O22" s="533"/>
      <c r="P22" s="533"/>
      <c r="Q22" s="533"/>
      <c r="R22" s="533"/>
      <c r="S22" s="533"/>
      <c r="T22" s="507"/>
      <c r="U22" s="533"/>
      <c r="V22" s="533"/>
      <c r="W22" s="533"/>
      <c r="X22" s="533"/>
      <c r="Y22" s="533"/>
      <c r="Z22" s="533"/>
      <c r="AA22" s="533"/>
    </row>
    <row r="23" spans="1:27">
      <c r="A23" s="504">
        <v>3.1</v>
      </c>
      <c r="B23" s="524" t="s">
        <v>563</v>
      </c>
      <c r="C23" s="682"/>
      <c r="D23" s="675"/>
      <c r="E23" s="533"/>
      <c r="F23" s="533"/>
      <c r="G23" s="533"/>
      <c r="H23" s="507"/>
      <c r="I23" s="533"/>
      <c r="J23" s="533"/>
      <c r="K23" s="533"/>
      <c r="L23" s="507"/>
      <c r="M23" s="533"/>
      <c r="N23" s="533"/>
      <c r="O23" s="533"/>
      <c r="P23" s="533"/>
      <c r="Q23" s="533"/>
      <c r="R23" s="533"/>
      <c r="S23" s="533"/>
      <c r="T23" s="507"/>
      <c r="U23" s="533"/>
      <c r="V23" s="533"/>
      <c r="W23" s="533"/>
      <c r="X23" s="533"/>
      <c r="Y23" s="533"/>
      <c r="Z23" s="533"/>
      <c r="AA23" s="533"/>
    </row>
    <row r="24" spans="1:27">
      <c r="A24" s="504">
        <v>3.2</v>
      </c>
      <c r="B24" s="524" t="s">
        <v>564</v>
      </c>
      <c r="C24" s="682"/>
      <c r="D24" s="675"/>
      <c r="E24" s="533"/>
      <c r="F24" s="533"/>
      <c r="G24" s="533"/>
      <c r="H24" s="507"/>
      <c r="I24" s="533"/>
      <c r="J24" s="533"/>
      <c r="K24" s="533"/>
      <c r="L24" s="507"/>
      <c r="M24" s="533"/>
      <c r="N24" s="533"/>
      <c r="O24" s="533"/>
      <c r="P24" s="533"/>
      <c r="Q24" s="533"/>
      <c r="R24" s="533"/>
      <c r="S24" s="533"/>
      <c r="T24" s="507"/>
      <c r="U24" s="533"/>
      <c r="V24" s="533"/>
      <c r="W24" s="533"/>
      <c r="X24" s="533"/>
      <c r="Y24" s="533"/>
      <c r="Z24" s="533"/>
      <c r="AA24" s="533"/>
    </row>
    <row r="25" spans="1:27">
      <c r="A25" s="504">
        <v>3.3</v>
      </c>
      <c r="B25" s="524" t="s">
        <v>565</v>
      </c>
      <c r="C25" s="682"/>
      <c r="D25" s="675"/>
      <c r="E25" s="533"/>
      <c r="F25" s="533"/>
      <c r="G25" s="533"/>
      <c r="H25" s="507"/>
      <c r="I25" s="533"/>
      <c r="J25" s="533"/>
      <c r="K25" s="533"/>
      <c r="L25" s="507"/>
      <c r="M25" s="533"/>
      <c r="N25" s="533"/>
      <c r="O25" s="533"/>
      <c r="P25" s="533"/>
      <c r="Q25" s="533"/>
      <c r="R25" s="533"/>
      <c r="S25" s="533"/>
      <c r="T25" s="507"/>
      <c r="U25" s="533"/>
      <c r="V25" s="533"/>
      <c r="W25" s="533"/>
      <c r="X25" s="533"/>
      <c r="Y25" s="533"/>
      <c r="Z25" s="533"/>
      <c r="AA25" s="533"/>
    </row>
    <row r="26" spans="1:27">
      <c r="A26" s="504">
        <v>3.4</v>
      </c>
      <c r="B26" s="524" t="s">
        <v>566</v>
      </c>
      <c r="C26" s="682"/>
      <c r="D26" s="675"/>
      <c r="E26" s="533"/>
      <c r="F26" s="533"/>
      <c r="G26" s="533"/>
      <c r="H26" s="507"/>
      <c r="I26" s="533"/>
      <c r="J26" s="533"/>
      <c r="K26" s="533"/>
      <c r="L26" s="507"/>
      <c r="M26" s="533"/>
      <c r="N26" s="533"/>
      <c r="O26" s="533"/>
      <c r="P26" s="533"/>
      <c r="Q26" s="533"/>
      <c r="R26" s="533"/>
      <c r="S26" s="533"/>
      <c r="T26" s="507"/>
      <c r="U26" s="533"/>
      <c r="V26" s="533"/>
      <c r="W26" s="533"/>
      <c r="X26" s="533"/>
      <c r="Y26" s="533"/>
      <c r="Z26" s="533"/>
      <c r="AA26" s="533"/>
    </row>
    <row r="27" spans="1:27">
      <c r="A27" s="504">
        <v>3.5</v>
      </c>
      <c r="B27" s="524" t="s">
        <v>567</v>
      </c>
      <c r="C27" s="685">
        <f>D27</f>
        <v>2714579</v>
      </c>
      <c r="D27" s="676">
        <v>2714579</v>
      </c>
      <c r="E27" s="533"/>
      <c r="F27" s="533"/>
      <c r="G27" s="533"/>
      <c r="H27" s="507"/>
      <c r="I27" s="533"/>
      <c r="J27" s="533"/>
      <c r="K27" s="533"/>
      <c r="L27" s="507"/>
      <c r="M27" s="533"/>
      <c r="N27" s="533"/>
      <c r="O27" s="533"/>
      <c r="P27" s="533"/>
      <c r="Q27" s="533"/>
      <c r="R27" s="533"/>
      <c r="S27" s="533"/>
      <c r="T27" s="507"/>
      <c r="U27" s="533"/>
      <c r="V27" s="533"/>
      <c r="W27" s="533"/>
      <c r="X27" s="533"/>
      <c r="Y27" s="533"/>
      <c r="Z27" s="533"/>
      <c r="AA27" s="533"/>
    </row>
    <row r="28" spans="1:27">
      <c r="A28" s="504">
        <v>3.6</v>
      </c>
      <c r="B28" s="524" t="s">
        <v>568</v>
      </c>
      <c r="C28" s="685">
        <v>45503169.61999999</v>
      </c>
      <c r="D28" s="675"/>
      <c r="E28" s="533"/>
      <c r="F28" s="533"/>
      <c r="G28" s="533"/>
      <c r="H28" s="507"/>
      <c r="I28" s="533"/>
      <c r="J28" s="533"/>
      <c r="K28" s="533"/>
      <c r="L28" s="507"/>
      <c r="M28" s="533"/>
      <c r="N28" s="533"/>
      <c r="O28" s="533"/>
      <c r="P28" s="533"/>
      <c r="Q28" s="533"/>
      <c r="R28" s="533"/>
      <c r="S28" s="533"/>
      <c r="T28" s="507"/>
      <c r="U28" s="533"/>
      <c r="V28" s="533"/>
      <c r="W28" s="533"/>
      <c r="X28" s="533"/>
      <c r="Y28" s="533"/>
      <c r="Z28" s="533"/>
      <c r="AA28" s="533"/>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topLeftCell="L1" zoomScaleNormal="100" workbookViewId="0">
      <selection activeCell="T8" activeCellId="1" sqref="L8 T8"/>
    </sheetView>
  </sheetViews>
  <sheetFormatPr defaultColWidth="9.21875" defaultRowHeight="12"/>
  <cols>
    <col min="1" max="1" width="11.77734375" style="517" bestFit="1" customWidth="1"/>
    <col min="2" max="2" width="90.21875" style="517" bestFit="1" customWidth="1"/>
    <col min="3" max="3" width="20.21875" style="517" customWidth="1"/>
    <col min="4" max="4" width="22.21875" style="517" customWidth="1"/>
    <col min="5" max="7" width="17.109375" style="517" customWidth="1"/>
    <col min="8" max="8" width="22.21875" style="517" customWidth="1"/>
    <col min="9" max="10" width="17.109375" style="517" customWidth="1"/>
    <col min="11" max="27" width="22.21875" style="517" customWidth="1"/>
    <col min="28" max="16384" width="9.21875" style="517"/>
  </cols>
  <sheetData>
    <row r="1" spans="1:27" ht="13.8">
      <c r="A1" s="391" t="s">
        <v>108</v>
      </c>
      <c r="B1" s="310" t="str">
        <f>Info!C2</f>
        <v>კრედო</v>
      </c>
    </row>
    <row r="2" spans="1:27">
      <c r="A2" s="391" t="s">
        <v>109</v>
      </c>
      <c r="B2" s="394">
        <f>'1. key ratios'!B2</f>
        <v>45199</v>
      </c>
    </row>
    <row r="3" spans="1:27">
      <c r="A3" s="393" t="s">
        <v>571</v>
      </c>
      <c r="C3" s="519"/>
    </row>
    <row r="4" spans="1:27" ht="12.6" thickBot="1">
      <c r="A4" s="393"/>
      <c r="B4" s="519"/>
      <c r="C4" s="519"/>
    </row>
    <row r="5" spans="1:27" ht="13.5" customHeight="1">
      <c r="A5" s="910" t="s">
        <v>904</v>
      </c>
      <c r="B5" s="911"/>
      <c r="C5" s="907" t="s">
        <v>572</v>
      </c>
      <c r="D5" s="908"/>
      <c r="E5" s="908"/>
      <c r="F5" s="908"/>
      <c r="G5" s="908"/>
      <c r="H5" s="908"/>
      <c r="I5" s="908"/>
      <c r="J5" s="908"/>
      <c r="K5" s="908"/>
      <c r="L5" s="908"/>
      <c r="M5" s="908"/>
      <c r="N5" s="908"/>
      <c r="O5" s="908"/>
      <c r="P5" s="908"/>
      <c r="Q5" s="908"/>
      <c r="R5" s="908"/>
      <c r="S5" s="908"/>
      <c r="T5" s="908"/>
      <c r="U5" s="908"/>
      <c r="V5" s="908"/>
      <c r="W5" s="908"/>
      <c r="X5" s="908"/>
      <c r="Y5" s="908"/>
      <c r="Z5" s="908"/>
      <c r="AA5" s="909"/>
    </row>
    <row r="6" spans="1:27" ht="12" customHeight="1">
      <c r="A6" s="912"/>
      <c r="B6" s="913"/>
      <c r="C6" s="916" t="s">
        <v>66</v>
      </c>
      <c r="D6" s="881" t="s">
        <v>895</v>
      </c>
      <c r="E6" s="881"/>
      <c r="F6" s="881"/>
      <c r="G6" s="881"/>
      <c r="H6" s="902" t="s">
        <v>894</v>
      </c>
      <c r="I6" s="903"/>
      <c r="J6" s="903"/>
      <c r="K6" s="903"/>
      <c r="L6" s="541"/>
      <c r="M6" s="885" t="s">
        <v>893</v>
      </c>
      <c r="N6" s="885"/>
      <c r="O6" s="885"/>
      <c r="P6" s="885"/>
      <c r="Q6" s="885"/>
      <c r="R6" s="885"/>
      <c r="S6" s="883"/>
      <c r="T6" s="541"/>
      <c r="U6" s="885" t="s">
        <v>892</v>
      </c>
      <c r="V6" s="885"/>
      <c r="W6" s="885"/>
      <c r="X6" s="885"/>
      <c r="Y6" s="885"/>
      <c r="Z6" s="885"/>
      <c r="AA6" s="906"/>
    </row>
    <row r="7" spans="1:27" ht="36">
      <c r="A7" s="914"/>
      <c r="B7" s="915"/>
      <c r="C7" s="917"/>
      <c r="D7" s="539"/>
      <c r="E7" s="514" t="s">
        <v>561</v>
      </c>
      <c r="F7" s="514" t="s">
        <v>890</v>
      </c>
      <c r="G7" s="514" t="s">
        <v>891</v>
      </c>
      <c r="H7" s="518"/>
      <c r="I7" s="514" t="s">
        <v>561</v>
      </c>
      <c r="J7" s="514" t="s">
        <v>890</v>
      </c>
      <c r="K7" s="514" t="s">
        <v>891</v>
      </c>
      <c r="L7" s="536"/>
      <c r="M7" s="514" t="s">
        <v>561</v>
      </c>
      <c r="N7" s="514" t="s">
        <v>903</v>
      </c>
      <c r="O7" s="514" t="s">
        <v>902</v>
      </c>
      <c r="P7" s="514" t="s">
        <v>901</v>
      </c>
      <c r="Q7" s="514" t="s">
        <v>900</v>
      </c>
      <c r="R7" s="514" t="s">
        <v>899</v>
      </c>
      <c r="S7" s="514" t="s">
        <v>885</v>
      </c>
      <c r="T7" s="536"/>
      <c r="U7" s="514" t="s">
        <v>561</v>
      </c>
      <c r="V7" s="514" t="s">
        <v>903</v>
      </c>
      <c r="W7" s="514" t="s">
        <v>902</v>
      </c>
      <c r="X7" s="514" t="s">
        <v>901</v>
      </c>
      <c r="Y7" s="514" t="s">
        <v>900</v>
      </c>
      <c r="Z7" s="514" t="s">
        <v>899</v>
      </c>
      <c r="AA7" s="514" t="s">
        <v>885</v>
      </c>
    </row>
    <row r="8" spans="1:27">
      <c r="A8" s="569">
        <v>1</v>
      </c>
      <c r="B8" s="568" t="s">
        <v>562</v>
      </c>
      <c r="C8" s="700">
        <f>D8+H8+L8+T8</f>
        <v>1917801980.2273972</v>
      </c>
      <c r="D8" s="676">
        <v>1817959858.3347297</v>
      </c>
      <c r="E8" s="676">
        <v>9679022.6555887628</v>
      </c>
      <c r="F8" s="676">
        <v>0</v>
      </c>
      <c r="G8" s="676">
        <v>0</v>
      </c>
      <c r="H8" s="676">
        <v>85622610.782410488</v>
      </c>
      <c r="I8" s="676">
        <v>3312554.8053338677</v>
      </c>
      <c r="J8" s="676">
        <v>15026744.650020249</v>
      </c>
      <c r="K8" s="676">
        <v>0</v>
      </c>
      <c r="L8" s="676">
        <v>13966994.600257082</v>
      </c>
      <c r="M8" s="676">
        <v>332449.54077474884</v>
      </c>
      <c r="N8" s="676">
        <v>297742.98816878261</v>
      </c>
      <c r="O8" s="676">
        <v>12434469.110735824</v>
      </c>
      <c r="P8" s="676">
        <v>0</v>
      </c>
      <c r="Q8" s="676">
        <v>0</v>
      </c>
      <c r="R8" s="676">
        <v>0</v>
      </c>
      <c r="S8" s="676">
        <v>0</v>
      </c>
      <c r="T8" s="676">
        <v>252516.51000000004</v>
      </c>
      <c r="U8" s="676">
        <v>0</v>
      </c>
      <c r="V8" s="676">
        <v>17288.760000000002</v>
      </c>
      <c r="W8" s="676">
        <v>0</v>
      </c>
      <c r="X8" s="676">
        <v>0</v>
      </c>
      <c r="Y8" s="676">
        <v>0</v>
      </c>
      <c r="Z8" s="676">
        <v>0</v>
      </c>
      <c r="AA8" s="699">
        <v>0</v>
      </c>
    </row>
    <row r="9" spans="1:27">
      <c r="A9" s="561">
        <v>1.1000000000000001</v>
      </c>
      <c r="B9" s="567" t="s">
        <v>573</v>
      </c>
      <c r="C9" s="694">
        <f>D9+H9+L9+T9</f>
        <v>857929324.30324852</v>
      </c>
      <c r="D9" s="697">
        <v>822802446.59902692</v>
      </c>
      <c r="E9" s="697">
        <v>3406300.2505160421</v>
      </c>
      <c r="F9" s="504"/>
      <c r="G9" s="504"/>
      <c r="H9" s="697">
        <v>31718651.577240434</v>
      </c>
      <c r="I9" s="697">
        <v>1028911.8477032753</v>
      </c>
      <c r="J9" s="697">
        <v>4578003.4126056079</v>
      </c>
      <c r="K9" s="697"/>
      <c r="L9" s="697">
        <v>3207236.3269811491</v>
      </c>
      <c r="M9" s="697">
        <v>310104.13854942867</v>
      </c>
      <c r="N9" s="697">
        <v>53503.394642286774</v>
      </c>
      <c r="O9" s="697">
        <v>2473547.61150544</v>
      </c>
      <c r="P9" s="697"/>
      <c r="Q9" s="504"/>
      <c r="R9" s="504"/>
      <c r="S9" s="504"/>
      <c r="T9" s="676">
        <v>200989.80000000002</v>
      </c>
      <c r="U9" s="676"/>
      <c r="V9" s="676">
        <v>17288.760000000002</v>
      </c>
      <c r="W9" s="504"/>
      <c r="X9" s="504"/>
      <c r="Y9" s="504"/>
      <c r="Z9" s="504"/>
      <c r="AA9" s="549"/>
    </row>
    <row r="10" spans="1:27">
      <c r="A10" s="565" t="s">
        <v>157</v>
      </c>
      <c r="B10" s="566" t="s">
        <v>574</v>
      </c>
      <c r="C10" s="695">
        <f>SUM(C11:C14)</f>
        <v>530935372.32141703</v>
      </c>
      <c r="D10" s="775">
        <f t="shared" ref="D10:AA10" si="0">SUM(D11:D14)</f>
        <v>515059414.67701632</v>
      </c>
      <c r="E10" s="775">
        <f t="shared" si="0"/>
        <v>1484375.5778893344</v>
      </c>
      <c r="F10" s="775">
        <f t="shared" si="0"/>
        <v>0</v>
      </c>
      <c r="G10" s="775">
        <f t="shared" si="0"/>
        <v>0</v>
      </c>
      <c r="H10" s="775">
        <f t="shared" si="0"/>
        <v>14616353.687339453</v>
      </c>
      <c r="I10" s="775">
        <f t="shared" si="0"/>
        <v>476498.23277164646</v>
      </c>
      <c r="J10" s="775">
        <f t="shared" si="0"/>
        <v>2668526.0974884983</v>
      </c>
      <c r="K10" s="775">
        <f t="shared" si="0"/>
        <v>0</v>
      </c>
      <c r="L10" s="775">
        <f t="shared" si="0"/>
        <v>1235110.167061185</v>
      </c>
      <c r="M10" s="775">
        <f t="shared" si="0"/>
        <v>291052.7582905537</v>
      </c>
      <c r="N10" s="775">
        <f t="shared" si="0"/>
        <v>13515.124059902126</v>
      </c>
      <c r="O10" s="775">
        <f t="shared" si="0"/>
        <v>896372.56017794355</v>
      </c>
      <c r="P10" s="775">
        <f t="shared" si="0"/>
        <v>0</v>
      </c>
      <c r="Q10" s="775">
        <f t="shared" si="0"/>
        <v>0</v>
      </c>
      <c r="R10" s="775">
        <f t="shared" si="0"/>
        <v>0</v>
      </c>
      <c r="S10" s="695">
        <f t="shared" si="0"/>
        <v>0</v>
      </c>
      <c r="T10" s="695">
        <f t="shared" si="0"/>
        <v>24493.79</v>
      </c>
      <c r="U10" s="775">
        <f t="shared" si="0"/>
        <v>0</v>
      </c>
      <c r="V10" s="695"/>
      <c r="W10" s="695"/>
      <c r="X10" s="695">
        <f t="shared" si="0"/>
        <v>0</v>
      </c>
      <c r="Y10" s="695">
        <f t="shared" si="0"/>
        <v>0</v>
      </c>
      <c r="Z10" s="695">
        <f t="shared" si="0"/>
        <v>0</v>
      </c>
      <c r="AA10" s="695">
        <f t="shared" si="0"/>
        <v>0</v>
      </c>
    </row>
    <row r="11" spans="1:27" ht="14.4">
      <c r="A11" s="563" t="s">
        <v>575</v>
      </c>
      <c r="B11" s="564" t="s">
        <v>576</v>
      </c>
      <c r="C11" s="694">
        <f>D11+H11+L11+T11</f>
        <v>327329673.12005156</v>
      </c>
      <c r="D11" s="776">
        <v>319296932.57538444</v>
      </c>
      <c r="E11" s="776">
        <v>755789.31524935167</v>
      </c>
      <c r="F11" s="504"/>
      <c r="G11" s="504"/>
      <c r="H11" s="776">
        <v>7561077.9467186322</v>
      </c>
      <c r="I11" s="777">
        <v>90476.382472072466</v>
      </c>
      <c r="J11" s="778">
        <v>1170691.9476494198</v>
      </c>
      <c r="K11" s="697"/>
      <c r="L11" s="778">
        <v>447168.80794844549</v>
      </c>
      <c r="M11" s="777">
        <v>291052.7582905537</v>
      </c>
      <c r="N11" s="504"/>
      <c r="O11" s="697">
        <v>156116.0496578918</v>
      </c>
      <c r="P11" s="778"/>
      <c r="Q11" s="504"/>
      <c r="R11" s="504"/>
      <c r="S11" s="504"/>
      <c r="T11" s="693">
        <v>24493.79</v>
      </c>
      <c r="U11" s="802"/>
      <c r="V11" s="504"/>
      <c r="W11" s="504"/>
      <c r="X11" s="504"/>
      <c r="Y11" s="504"/>
      <c r="Z11" s="504"/>
      <c r="AA11" s="549"/>
    </row>
    <row r="12" spans="1:27" ht="14.4">
      <c r="A12" s="563" t="s">
        <v>577</v>
      </c>
      <c r="B12" s="564" t="s">
        <v>578</v>
      </c>
      <c r="C12" s="694">
        <f t="shared" ref="C12:C15" si="1">D12+H12+L12+T12</f>
        <v>108014087.39909483</v>
      </c>
      <c r="D12" s="776">
        <v>104424263.60571143</v>
      </c>
      <c r="E12" s="776">
        <v>351583.7332626204</v>
      </c>
      <c r="F12" s="504"/>
      <c r="G12" s="504"/>
      <c r="H12" s="776">
        <v>3165283.0626764009</v>
      </c>
      <c r="I12" s="779"/>
      <c r="J12" s="777">
        <v>1136557.2806875985</v>
      </c>
      <c r="K12" s="697"/>
      <c r="L12" s="778">
        <v>424540.73070699931</v>
      </c>
      <c r="M12" s="504"/>
      <c r="N12" s="676">
        <v>13515.124059902126</v>
      </c>
      <c r="O12" s="697">
        <v>411025.60664709716</v>
      </c>
      <c r="P12" s="778"/>
      <c r="Q12" s="504"/>
      <c r="R12" s="504"/>
      <c r="S12" s="504"/>
      <c r="T12" s="504"/>
      <c r="U12" s="504"/>
      <c r="V12" s="504"/>
      <c r="W12" s="504"/>
      <c r="X12" s="504"/>
      <c r="Y12" s="504"/>
      <c r="Z12" s="504"/>
      <c r="AA12" s="549"/>
    </row>
    <row r="13" spans="1:27" ht="14.4">
      <c r="A13" s="563" t="s">
        <v>579</v>
      </c>
      <c r="B13" s="564" t="s">
        <v>580</v>
      </c>
      <c r="C13" s="694">
        <f t="shared" si="1"/>
        <v>48546974.719953828</v>
      </c>
      <c r="D13" s="776">
        <v>48093013.800691098</v>
      </c>
      <c r="E13" s="776">
        <v>163924.98383877671</v>
      </c>
      <c r="F13" s="504"/>
      <c r="G13" s="504"/>
      <c r="H13" s="776">
        <v>453960.91926273302</v>
      </c>
      <c r="I13" s="780">
        <v>180350.18770526367</v>
      </c>
      <c r="J13" s="778"/>
      <c r="K13" s="697"/>
      <c r="L13" s="778"/>
      <c r="M13" s="504"/>
      <c r="N13" s="504"/>
      <c r="O13" s="697"/>
      <c r="P13" s="778"/>
      <c r="Q13" s="504"/>
      <c r="R13" s="504"/>
      <c r="S13" s="504"/>
      <c r="T13" s="504"/>
      <c r="U13" s="504"/>
      <c r="V13" s="504"/>
      <c r="W13" s="504"/>
      <c r="X13" s="504"/>
      <c r="Y13" s="504"/>
      <c r="Z13" s="504"/>
      <c r="AA13" s="549"/>
    </row>
    <row r="14" spans="1:27" ht="14.4">
      <c r="A14" s="563" t="s">
        <v>581</v>
      </c>
      <c r="B14" s="564" t="s">
        <v>582</v>
      </c>
      <c r="C14" s="694">
        <f t="shared" si="1"/>
        <v>47044637.082316794</v>
      </c>
      <c r="D14" s="776">
        <v>43245204.695229366</v>
      </c>
      <c r="E14" s="776">
        <v>213077.54553858575</v>
      </c>
      <c r="F14" s="504"/>
      <c r="G14" s="504"/>
      <c r="H14" s="776">
        <v>3436031.7586816866</v>
      </c>
      <c r="I14" s="779">
        <v>205671.66259431033</v>
      </c>
      <c r="J14" s="676">
        <v>361276.86915147997</v>
      </c>
      <c r="K14" s="697"/>
      <c r="L14" s="778">
        <v>363400.62840574019</v>
      </c>
      <c r="M14" s="504"/>
      <c r="N14" s="504"/>
      <c r="O14" s="697">
        <v>329230.90387295454</v>
      </c>
      <c r="P14" s="778"/>
      <c r="Q14" s="504"/>
      <c r="R14" s="504"/>
      <c r="S14" s="504"/>
      <c r="T14" s="504"/>
      <c r="U14" s="504"/>
      <c r="V14" s="504"/>
      <c r="W14" s="504"/>
      <c r="X14" s="504"/>
      <c r="Y14" s="504"/>
      <c r="Z14" s="504"/>
      <c r="AA14" s="549"/>
    </row>
    <row r="15" spans="1:27" ht="14.4">
      <c r="A15" s="562">
        <v>1.2</v>
      </c>
      <c r="B15" s="560" t="s">
        <v>898</v>
      </c>
      <c r="C15" s="694">
        <f t="shared" si="1"/>
        <v>12400411.981369933</v>
      </c>
      <c r="D15" s="777">
        <v>5184558.6542684045</v>
      </c>
      <c r="E15" s="778">
        <v>702064.93267716025</v>
      </c>
      <c r="F15" s="504"/>
      <c r="G15" s="504"/>
      <c r="H15" s="781">
        <v>4656817.8657883806</v>
      </c>
      <c r="I15" s="781">
        <v>136762.63020242512</v>
      </c>
      <c r="J15" s="781">
        <v>1525069.0215236449</v>
      </c>
      <c r="K15" s="676"/>
      <c r="L15" s="781">
        <v>2546072.0525465868</v>
      </c>
      <c r="M15" s="676">
        <v>223311.90371819522</v>
      </c>
      <c r="N15" s="676">
        <v>46091.034550300901</v>
      </c>
      <c r="O15" s="697">
        <v>1964377.3953859541</v>
      </c>
      <c r="P15" s="697"/>
      <c r="Q15" s="504"/>
      <c r="R15" s="504"/>
      <c r="S15" s="504"/>
      <c r="T15" s="676">
        <v>12963.408766563045</v>
      </c>
      <c r="U15" s="504"/>
      <c r="V15" s="676">
        <v>10492.2950425857</v>
      </c>
      <c r="W15" s="504"/>
      <c r="X15" s="504"/>
      <c r="Y15" s="504"/>
      <c r="Z15" s="504"/>
      <c r="AA15" s="549"/>
    </row>
    <row r="16" spans="1:27">
      <c r="A16" s="561">
        <v>1.3</v>
      </c>
      <c r="B16" s="560" t="s">
        <v>583</v>
      </c>
      <c r="C16" s="559"/>
      <c r="D16" s="559"/>
      <c r="E16" s="559"/>
      <c r="F16" s="559"/>
      <c r="G16" s="559"/>
      <c r="H16" s="559"/>
      <c r="I16" s="559"/>
      <c r="J16" s="559"/>
      <c r="K16" s="559"/>
      <c r="L16" s="559"/>
      <c r="M16" s="559"/>
      <c r="N16" s="559"/>
      <c r="O16" s="559"/>
      <c r="P16" s="559"/>
      <c r="Q16" s="559"/>
      <c r="R16" s="559"/>
      <c r="S16" s="559"/>
      <c r="T16" s="559"/>
      <c r="U16" s="558"/>
      <c r="V16" s="558"/>
      <c r="W16" s="558"/>
      <c r="X16" s="558"/>
      <c r="Y16" s="558"/>
      <c r="Z16" s="558"/>
      <c r="AA16" s="557"/>
    </row>
    <row r="17" spans="1:27" ht="24">
      <c r="A17" s="554" t="s">
        <v>584</v>
      </c>
      <c r="B17" s="556" t="s">
        <v>585</v>
      </c>
      <c r="C17" s="774">
        <f>D17+H17+L17+T17</f>
        <v>839730410.35181224</v>
      </c>
      <c r="D17" s="697">
        <v>805871443.35667193</v>
      </c>
      <c r="E17" s="697">
        <v>3366339.8749052212</v>
      </c>
      <c r="F17" s="504"/>
      <c r="G17" s="504"/>
      <c r="H17" s="697">
        <v>30671312.151431106</v>
      </c>
      <c r="I17" s="697">
        <v>985929.9116733179</v>
      </c>
      <c r="J17" s="697">
        <v>4500511.5794003503</v>
      </c>
      <c r="K17" s="697"/>
      <c r="L17" s="697">
        <v>2986665.043709306</v>
      </c>
      <c r="M17" s="697">
        <v>310104.13854942867</v>
      </c>
      <c r="N17" s="697">
        <v>53503.394642286774</v>
      </c>
      <c r="O17" s="719">
        <v>2273967.4030704047</v>
      </c>
      <c r="P17" s="697"/>
      <c r="Q17" s="504"/>
      <c r="R17" s="504"/>
      <c r="S17" s="504"/>
      <c r="T17" s="697">
        <v>200989.80000000002</v>
      </c>
      <c r="U17" s="697"/>
      <c r="V17" s="676">
        <v>17288.760000000002</v>
      </c>
      <c r="W17" s="504"/>
      <c r="X17" s="504"/>
      <c r="Y17" s="504"/>
      <c r="Z17" s="504"/>
      <c r="AA17" s="549"/>
    </row>
    <row r="18" spans="1:27" ht="24">
      <c r="A18" s="552" t="s">
        <v>586</v>
      </c>
      <c r="B18" s="553" t="s">
        <v>587</v>
      </c>
      <c r="C18" s="774">
        <f t="shared" ref="C18:C21" si="2">D18+H18+L18+T18</f>
        <v>518024668.68673533</v>
      </c>
      <c r="D18" s="697">
        <v>502962320.15506399</v>
      </c>
      <c r="E18" s="697">
        <v>1436800.1235031891</v>
      </c>
      <c r="F18" s="504">
        <v>0</v>
      </c>
      <c r="G18" s="504">
        <v>0</v>
      </c>
      <c r="H18" s="697">
        <v>13869353.700605741</v>
      </c>
      <c r="I18" s="697">
        <v>393495.38847733609</v>
      </c>
      <c r="J18" s="697">
        <v>2544816.5942676626</v>
      </c>
      <c r="K18" s="504"/>
      <c r="L18" s="697">
        <v>1168501.0410655711</v>
      </c>
      <c r="M18" s="676">
        <v>291052.7582905537</v>
      </c>
      <c r="N18" s="676">
        <v>13515.124059902126</v>
      </c>
      <c r="O18" s="697">
        <v>833842.27520979708</v>
      </c>
      <c r="P18" s="504"/>
      <c r="Q18" s="504">
        <v>0</v>
      </c>
      <c r="R18" s="504">
        <v>0</v>
      </c>
      <c r="S18" s="504">
        <v>0</v>
      </c>
      <c r="T18" s="676">
        <v>24493.79</v>
      </c>
      <c r="U18" s="504"/>
      <c r="V18" s="676"/>
      <c r="W18" s="504"/>
      <c r="X18" s="504">
        <v>0</v>
      </c>
      <c r="Y18" s="504">
        <v>0</v>
      </c>
      <c r="Z18" s="504">
        <v>0</v>
      </c>
      <c r="AA18" s="549">
        <v>0</v>
      </c>
    </row>
    <row r="19" spans="1:27">
      <c r="A19" s="554" t="s">
        <v>588</v>
      </c>
      <c r="B19" s="555" t="s">
        <v>589</v>
      </c>
      <c r="C19" s="774">
        <f t="shared" si="2"/>
        <v>1412267462.2027564</v>
      </c>
      <c r="D19" s="697">
        <v>1362786824.0238507</v>
      </c>
      <c r="E19" s="697">
        <v>5743834.4659456359</v>
      </c>
      <c r="F19" s="504"/>
      <c r="G19" s="504"/>
      <c r="H19" s="697">
        <v>45445956.178994343</v>
      </c>
      <c r="I19" s="697">
        <v>1143055.517186647</v>
      </c>
      <c r="J19" s="697">
        <v>6972254.1217283495</v>
      </c>
      <c r="K19" s="697"/>
      <c r="L19" s="697">
        <v>2340911.3599111345</v>
      </c>
      <c r="M19" s="697">
        <v>203890.02904044499</v>
      </c>
      <c r="N19" s="697">
        <v>65091.733832209313</v>
      </c>
      <c r="O19" s="697">
        <v>1672866.1458171555</v>
      </c>
      <c r="P19" s="697"/>
      <c r="Q19" s="504"/>
      <c r="R19" s="504"/>
      <c r="S19" s="504"/>
      <c r="T19" s="676">
        <v>1693770.6400000004</v>
      </c>
      <c r="U19" s="676"/>
      <c r="V19" s="676">
        <v>15511.239999999998</v>
      </c>
      <c r="W19" s="504"/>
      <c r="X19" s="504"/>
      <c r="Y19" s="504"/>
      <c r="Z19" s="504"/>
      <c r="AA19" s="549"/>
    </row>
    <row r="20" spans="1:27">
      <c r="A20" s="552" t="s">
        <v>590</v>
      </c>
      <c r="B20" s="553" t="s">
        <v>591</v>
      </c>
      <c r="C20" s="774">
        <f t="shared" si="2"/>
        <v>601568424.80999994</v>
      </c>
      <c r="D20" s="697">
        <v>588411908</v>
      </c>
      <c r="E20" s="697">
        <v>1805787</v>
      </c>
      <c r="F20" s="504"/>
      <c r="G20" s="504"/>
      <c r="H20" s="697">
        <v>12301210</v>
      </c>
      <c r="I20" s="697">
        <v>300183</v>
      </c>
      <c r="J20" s="697">
        <v>2264962</v>
      </c>
      <c r="K20" s="697"/>
      <c r="L20" s="697">
        <v>660180</v>
      </c>
      <c r="M20" s="676">
        <v>194843.58929931995</v>
      </c>
      <c r="N20" s="676">
        <v>3902.4744145939731</v>
      </c>
      <c r="O20" s="697">
        <v>461434</v>
      </c>
      <c r="P20" s="504"/>
      <c r="Q20" s="504"/>
      <c r="R20" s="504"/>
      <c r="S20" s="504"/>
      <c r="T20" s="676">
        <v>195126.80999999997</v>
      </c>
      <c r="U20" s="504"/>
      <c r="V20" s="504"/>
      <c r="W20" s="504"/>
      <c r="X20" s="504"/>
      <c r="Y20" s="504"/>
      <c r="Z20" s="504"/>
      <c r="AA20" s="549"/>
    </row>
    <row r="21" spans="1:27">
      <c r="A21" s="551">
        <v>1.4</v>
      </c>
      <c r="B21" s="550" t="s">
        <v>681</v>
      </c>
      <c r="C21" s="774">
        <f t="shared" si="2"/>
        <v>91408</v>
      </c>
      <c r="D21" s="697">
        <v>91408</v>
      </c>
      <c r="E21" s="504"/>
      <c r="F21" s="504"/>
      <c r="G21" s="504"/>
      <c r="H21" s="504"/>
      <c r="I21" s="504"/>
      <c r="J21" s="504"/>
      <c r="K21" s="504"/>
      <c r="L21" s="504"/>
      <c r="M21" s="504"/>
      <c r="N21" s="504"/>
      <c r="O21" s="504"/>
      <c r="P21" s="504"/>
      <c r="Q21" s="504"/>
      <c r="R21" s="504"/>
      <c r="S21" s="504"/>
      <c r="T21" s="504"/>
      <c r="U21" s="504"/>
      <c r="V21" s="504"/>
      <c r="W21" s="504"/>
      <c r="X21" s="504"/>
      <c r="Y21" s="504"/>
      <c r="Z21" s="504"/>
      <c r="AA21" s="549"/>
    </row>
    <row r="22" spans="1:27" ht="12.6" thickBot="1">
      <c r="A22" s="548">
        <v>1.5</v>
      </c>
      <c r="B22" s="547" t="s">
        <v>682</v>
      </c>
      <c r="C22" s="546"/>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4"/>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topLeftCell="F1" zoomScale="90" zoomScaleNormal="90" workbookViewId="0">
      <selection activeCell="K36" sqref="K36"/>
    </sheetView>
  </sheetViews>
  <sheetFormatPr defaultColWidth="9.21875" defaultRowHeight="12"/>
  <cols>
    <col min="1" max="1" width="11.77734375" style="517" bestFit="1" customWidth="1"/>
    <col min="2" max="2" width="93.44140625" style="517" customWidth="1"/>
    <col min="3" max="3" width="14.6640625" style="517" customWidth="1"/>
    <col min="4" max="5" width="16.109375" style="517" customWidth="1"/>
    <col min="6" max="6" width="16.109375" style="535" customWidth="1"/>
    <col min="7" max="7" width="25.21875" style="535" customWidth="1"/>
    <col min="8" max="8" width="16.109375" style="517" customWidth="1"/>
    <col min="9" max="11" width="16.109375" style="535" customWidth="1"/>
    <col min="12" max="12" width="26.21875" style="535" customWidth="1"/>
    <col min="13" max="16384" width="9.21875" style="517"/>
  </cols>
  <sheetData>
    <row r="1" spans="1:12" ht="13.8">
      <c r="A1" s="391" t="s">
        <v>108</v>
      </c>
      <c r="B1" s="310" t="str">
        <f>Info!C2</f>
        <v>კრედო</v>
      </c>
      <c r="F1" s="517"/>
      <c r="G1" s="517"/>
      <c r="I1" s="517"/>
      <c r="J1" s="517"/>
      <c r="K1" s="517"/>
      <c r="L1" s="517"/>
    </row>
    <row r="2" spans="1:12">
      <c r="A2" s="391" t="s">
        <v>109</v>
      </c>
      <c r="B2" s="394">
        <f>'1. key ratios'!B2</f>
        <v>45199</v>
      </c>
      <c r="F2" s="517"/>
      <c r="G2" s="517"/>
      <c r="I2" s="517"/>
      <c r="J2" s="517"/>
      <c r="K2" s="517"/>
      <c r="L2" s="517"/>
    </row>
    <row r="3" spans="1:12">
      <c r="A3" s="393" t="s">
        <v>594</v>
      </c>
      <c r="F3" s="517"/>
      <c r="G3" s="517"/>
      <c r="I3" s="517"/>
      <c r="J3" s="517"/>
      <c r="K3" s="517"/>
      <c r="L3" s="517"/>
    </row>
    <row r="4" spans="1:12">
      <c r="F4" s="517"/>
      <c r="G4" s="517"/>
      <c r="I4" s="517"/>
      <c r="J4" s="517"/>
      <c r="K4" s="517"/>
      <c r="L4" s="517"/>
    </row>
    <row r="5" spans="1:12" ht="37.5" customHeight="1">
      <c r="A5" s="869" t="s">
        <v>595</v>
      </c>
      <c r="B5" s="870"/>
      <c r="C5" s="918" t="s">
        <v>596</v>
      </c>
      <c r="D5" s="919"/>
      <c r="E5" s="919"/>
      <c r="F5" s="919"/>
      <c r="G5" s="919"/>
      <c r="H5" s="918" t="s">
        <v>905</v>
      </c>
      <c r="I5" s="920"/>
      <c r="J5" s="920"/>
      <c r="K5" s="920"/>
      <c r="L5" s="921"/>
    </row>
    <row r="6" spans="1:12" ht="39.450000000000003" customHeight="1">
      <c r="A6" s="873"/>
      <c r="B6" s="874"/>
      <c r="C6" s="398"/>
      <c r="D6" s="515" t="s">
        <v>895</v>
      </c>
      <c r="E6" s="515" t="s">
        <v>894</v>
      </c>
      <c r="F6" s="515" t="s">
        <v>893</v>
      </c>
      <c r="G6" s="515" t="s">
        <v>892</v>
      </c>
      <c r="H6" s="536"/>
      <c r="I6" s="515" t="s">
        <v>895</v>
      </c>
      <c r="J6" s="515" t="s">
        <v>894</v>
      </c>
      <c r="K6" s="515" t="s">
        <v>893</v>
      </c>
      <c r="L6" s="515" t="s">
        <v>892</v>
      </c>
    </row>
    <row r="7" spans="1:12">
      <c r="A7" s="504">
        <v>1</v>
      </c>
      <c r="B7" s="520" t="s">
        <v>518</v>
      </c>
      <c r="C7" s="689">
        <f>SUM(D7:G7)</f>
        <v>32536052.555510353</v>
      </c>
      <c r="D7" s="676">
        <v>31535406.04278506</v>
      </c>
      <c r="E7" s="676">
        <v>799475.95913861855</v>
      </c>
      <c r="F7" s="676">
        <v>201170.55358667689</v>
      </c>
      <c r="G7" s="686"/>
      <c r="H7" s="676">
        <f>SUM(I7:L7)</f>
        <v>629256.08386486908</v>
      </c>
      <c r="I7" s="687">
        <v>327506.69005186367</v>
      </c>
      <c r="J7" s="687">
        <v>131290.14768579241</v>
      </c>
      <c r="K7" s="687">
        <v>170459.24612721294</v>
      </c>
      <c r="L7" s="687"/>
    </row>
    <row r="8" spans="1:12">
      <c r="A8" s="504">
        <v>2</v>
      </c>
      <c r="B8" s="520" t="s">
        <v>519</v>
      </c>
      <c r="C8" s="689">
        <f t="shared" ref="C8:C33" si="0">SUM(D8:G8)</f>
        <v>10730279.039001519</v>
      </c>
      <c r="D8" s="676">
        <v>10593398.818600539</v>
      </c>
      <c r="E8" s="676">
        <v>127617.31352017794</v>
      </c>
      <c r="F8" s="687">
        <v>9262.9068808019401</v>
      </c>
      <c r="G8" s="687"/>
      <c r="H8" s="676">
        <f t="shared" ref="H8:H32" si="1">SUM(I8:L8)</f>
        <v>107657.87079365815</v>
      </c>
      <c r="I8" s="687">
        <v>83987.549054443938</v>
      </c>
      <c r="J8" s="687">
        <v>15840.317111032626</v>
      </c>
      <c r="K8" s="687">
        <v>7830.0046281815939</v>
      </c>
      <c r="L8" s="687"/>
    </row>
    <row r="9" spans="1:12">
      <c r="A9" s="504">
        <v>3</v>
      </c>
      <c r="B9" s="520" t="s">
        <v>871</v>
      </c>
      <c r="C9" s="689">
        <f t="shared" si="0"/>
        <v>6236913.4542240286</v>
      </c>
      <c r="D9" s="676">
        <v>5832020.436127211</v>
      </c>
      <c r="E9" s="676">
        <v>322423.04815020144</v>
      </c>
      <c r="F9" s="688">
        <v>82469.96994661662</v>
      </c>
      <c r="G9" s="688"/>
      <c r="H9" s="676">
        <f t="shared" si="1"/>
        <v>177161.07283661253</v>
      </c>
      <c r="I9" s="688">
        <v>64235.114807935875</v>
      </c>
      <c r="J9" s="688">
        <v>50414.828132119343</v>
      </c>
      <c r="K9" s="688">
        <v>62511.129896557301</v>
      </c>
      <c r="L9" s="688"/>
    </row>
    <row r="10" spans="1:12">
      <c r="A10" s="504">
        <v>4</v>
      </c>
      <c r="B10" s="520" t="s">
        <v>520</v>
      </c>
      <c r="C10" s="689">
        <f t="shared" si="0"/>
        <v>13257241.053056121</v>
      </c>
      <c r="D10" s="676">
        <v>13253047.916912634</v>
      </c>
      <c r="E10" s="676">
        <v>4193.1361434867877</v>
      </c>
      <c r="F10" s="688"/>
      <c r="G10" s="688"/>
      <c r="H10" s="676">
        <f t="shared" si="1"/>
        <v>39247.589496133267</v>
      </c>
      <c r="I10" s="688">
        <v>38822.643301529024</v>
      </c>
      <c r="J10" s="688">
        <v>424.94619460424201</v>
      </c>
      <c r="K10" s="688"/>
      <c r="L10" s="688"/>
    </row>
    <row r="11" spans="1:12">
      <c r="A11" s="504">
        <v>5</v>
      </c>
      <c r="B11" s="520" t="s">
        <v>521</v>
      </c>
      <c r="C11" s="689">
        <f t="shared" si="0"/>
        <v>28078893.749273889</v>
      </c>
      <c r="D11" s="676">
        <v>27865813.717767257</v>
      </c>
      <c r="E11" s="676">
        <v>204981.73242382219</v>
      </c>
      <c r="F11" s="688">
        <v>8098.2990828087441</v>
      </c>
      <c r="G11" s="688"/>
      <c r="H11" s="676">
        <f t="shared" si="1"/>
        <v>145597.56939361081</v>
      </c>
      <c r="I11" s="688">
        <v>115714.41311846219</v>
      </c>
      <c r="J11" s="688">
        <v>23037.603349402114</v>
      </c>
      <c r="K11" s="688">
        <v>6845.5529257465241</v>
      </c>
      <c r="L11" s="688"/>
    </row>
    <row r="12" spans="1:12">
      <c r="A12" s="504">
        <v>6</v>
      </c>
      <c r="B12" s="520" t="s">
        <v>522</v>
      </c>
      <c r="C12" s="689">
        <f t="shared" si="0"/>
        <v>7119308.7486071438</v>
      </c>
      <c r="D12" s="676">
        <v>6596260.1344091287</v>
      </c>
      <c r="E12" s="676">
        <v>461001.12821249547</v>
      </c>
      <c r="F12" s="688">
        <v>62047.485985519132</v>
      </c>
      <c r="G12" s="688"/>
      <c r="H12" s="676">
        <f t="shared" si="1"/>
        <v>154902.46180484127</v>
      </c>
      <c r="I12" s="688">
        <v>49605.862088710637</v>
      </c>
      <c r="J12" s="688">
        <v>52037.391955213403</v>
      </c>
      <c r="K12" s="688">
        <v>53259.207760917234</v>
      </c>
      <c r="L12" s="688"/>
    </row>
    <row r="13" spans="1:12">
      <c r="A13" s="504">
        <v>7</v>
      </c>
      <c r="B13" s="520" t="s">
        <v>523</v>
      </c>
      <c r="C13" s="689">
        <f t="shared" si="0"/>
        <v>3529399.6090608477</v>
      </c>
      <c r="D13" s="676">
        <v>3191423.9543887181</v>
      </c>
      <c r="E13" s="676">
        <v>310304.86518979707</v>
      </c>
      <c r="F13" s="688">
        <v>27670.789482332122</v>
      </c>
      <c r="G13" s="688"/>
      <c r="H13" s="676">
        <f t="shared" si="1"/>
        <v>100538.15602531377</v>
      </c>
      <c r="I13" s="688">
        <v>29076.681905382462</v>
      </c>
      <c r="J13" s="688">
        <v>48069.753716164203</v>
      </c>
      <c r="K13" s="688">
        <v>23391.7204037671</v>
      </c>
      <c r="L13" s="688"/>
    </row>
    <row r="14" spans="1:12">
      <c r="A14" s="504">
        <v>8</v>
      </c>
      <c r="B14" s="520" t="s">
        <v>524</v>
      </c>
      <c r="C14" s="689">
        <f t="shared" si="0"/>
        <v>135954020.57084423</v>
      </c>
      <c r="D14" s="676">
        <v>129203782.8106866</v>
      </c>
      <c r="E14" s="676">
        <v>5884031.9683918217</v>
      </c>
      <c r="F14" s="688">
        <v>833559.17176581733</v>
      </c>
      <c r="G14" s="688">
        <v>32646.620000000003</v>
      </c>
      <c r="H14" s="676">
        <f t="shared" si="1"/>
        <v>2721682.1923293052</v>
      </c>
      <c r="I14" s="688">
        <v>1170558.7657664644</v>
      </c>
      <c r="J14" s="688">
        <v>843990.90409975382</v>
      </c>
      <c r="K14" s="688">
        <v>706769.75126467203</v>
      </c>
      <c r="L14" s="688">
        <v>362.77119841534972</v>
      </c>
    </row>
    <row r="15" spans="1:12">
      <c r="A15" s="504">
        <v>9</v>
      </c>
      <c r="B15" s="520" t="s">
        <v>525</v>
      </c>
      <c r="C15" s="689">
        <f t="shared" si="0"/>
        <v>27937514.559892006</v>
      </c>
      <c r="D15" s="676">
        <v>26790500.749878444</v>
      </c>
      <c r="E15" s="676">
        <v>972852.88105563645</v>
      </c>
      <c r="F15" s="688">
        <v>172373.02895792582</v>
      </c>
      <c r="G15" s="688">
        <v>1787.9</v>
      </c>
      <c r="H15" s="676">
        <f t="shared" si="1"/>
        <v>549031.27711344894</v>
      </c>
      <c r="I15" s="688">
        <v>241489.5382476821</v>
      </c>
      <c r="J15" s="688">
        <v>160789.33685445957</v>
      </c>
      <c r="K15" s="688">
        <v>146730.46785826472</v>
      </c>
      <c r="L15" s="688">
        <v>21.934153042592701</v>
      </c>
    </row>
    <row r="16" spans="1:12">
      <c r="A16" s="504">
        <v>10</v>
      </c>
      <c r="B16" s="520" t="s">
        <v>526</v>
      </c>
      <c r="C16" s="689">
        <f t="shared" si="0"/>
        <v>13334716.478228852</v>
      </c>
      <c r="D16" s="676">
        <v>12684578.649696534</v>
      </c>
      <c r="E16" s="676">
        <v>554406.00030777266</v>
      </c>
      <c r="F16" s="688">
        <v>95731.828224545228</v>
      </c>
      <c r="G16" s="688"/>
      <c r="H16" s="676">
        <f t="shared" si="1"/>
        <v>269691.93594175437</v>
      </c>
      <c r="I16" s="688">
        <v>102293.75161291537</v>
      </c>
      <c r="J16" s="688">
        <v>85872.864951288473</v>
      </c>
      <c r="K16" s="688">
        <v>81525.319377550521</v>
      </c>
      <c r="L16" s="688"/>
    </row>
    <row r="17" spans="1:12">
      <c r="A17" s="504">
        <v>11</v>
      </c>
      <c r="B17" s="520" t="s">
        <v>527</v>
      </c>
      <c r="C17" s="689">
        <f t="shared" si="0"/>
        <v>6706759.2944405852</v>
      </c>
      <c r="D17" s="676">
        <v>6205309.8779994026</v>
      </c>
      <c r="E17" s="676">
        <v>433030.46902068687</v>
      </c>
      <c r="F17" s="688">
        <v>50499.437420495757</v>
      </c>
      <c r="G17" s="688">
        <v>17919.509999999998</v>
      </c>
      <c r="H17" s="676">
        <f t="shared" si="1"/>
        <v>194581.21826711841</v>
      </c>
      <c r="I17" s="688">
        <v>61502.533589219063</v>
      </c>
      <c r="J17" s="688">
        <v>89736.11401961997</v>
      </c>
      <c r="K17" s="688">
        <v>43142.00684693591</v>
      </c>
      <c r="L17" s="688">
        <v>200.56381134348101</v>
      </c>
    </row>
    <row r="18" spans="1:12">
      <c r="A18" s="504">
        <v>12</v>
      </c>
      <c r="B18" s="520" t="s">
        <v>528</v>
      </c>
      <c r="C18" s="689">
        <f t="shared" si="0"/>
        <v>107484723.59022158</v>
      </c>
      <c r="D18" s="676">
        <v>100989952.69592616</v>
      </c>
      <c r="E18" s="676">
        <v>6051521.6697835866</v>
      </c>
      <c r="F18" s="688">
        <v>422797.71451182157</v>
      </c>
      <c r="G18" s="688">
        <v>20451.509999999998</v>
      </c>
      <c r="H18" s="676">
        <f t="shared" si="1"/>
        <v>1890432.774630252</v>
      </c>
      <c r="I18" s="688">
        <v>780111.79118029051</v>
      </c>
      <c r="J18" s="688">
        <v>748037.69465933973</v>
      </c>
      <c r="K18" s="688">
        <v>362054.38561227982</v>
      </c>
      <c r="L18" s="688">
        <v>228.90317834189199</v>
      </c>
    </row>
    <row r="19" spans="1:12">
      <c r="A19" s="504">
        <v>13</v>
      </c>
      <c r="B19" s="520" t="s">
        <v>529</v>
      </c>
      <c r="C19" s="689">
        <f t="shared" si="0"/>
        <v>16621513.101706667</v>
      </c>
      <c r="D19" s="676">
        <v>15685678.994530436</v>
      </c>
      <c r="E19" s="676">
        <v>615616.55802324135</v>
      </c>
      <c r="F19" s="688">
        <v>320217.54915299051</v>
      </c>
      <c r="G19" s="688"/>
      <c r="H19" s="676">
        <f t="shared" si="1"/>
        <v>472103.15254252637</v>
      </c>
      <c r="I19" s="688">
        <v>125139.2535966914</v>
      </c>
      <c r="J19" s="688">
        <v>93567.190437557249</v>
      </c>
      <c r="K19" s="688">
        <v>253396.70850827775</v>
      </c>
      <c r="L19" s="688"/>
    </row>
    <row r="20" spans="1:12">
      <c r="A20" s="504">
        <v>14</v>
      </c>
      <c r="B20" s="520" t="s">
        <v>530</v>
      </c>
      <c r="C20" s="689">
        <f t="shared" si="0"/>
        <v>49366243.352610424</v>
      </c>
      <c r="D20" s="676">
        <v>45766279.931869388</v>
      </c>
      <c r="E20" s="676">
        <v>3556640.2781657218</v>
      </c>
      <c r="F20" s="688">
        <v>43323.142575319594</v>
      </c>
      <c r="G20" s="688"/>
      <c r="H20" s="676">
        <f t="shared" si="1"/>
        <v>636415.91441688628</v>
      </c>
      <c r="I20" s="688">
        <v>224104.9195156256</v>
      </c>
      <c r="J20" s="688">
        <v>376780.48604011198</v>
      </c>
      <c r="K20" s="688">
        <v>35530.508861148752</v>
      </c>
      <c r="L20" s="688"/>
    </row>
    <row r="21" spans="1:12">
      <c r="A21" s="504">
        <v>15</v>
      </c>
      <c r="B21" s="520" t="s">
        <v>531</v>
      </c>
      <c r="C21" s="689">
        <f t="shared" si="0"/>
        <v>32500285.975186598</v>
      </c>
      <c r="D21" s="676">
        <v>27789826.680844087</v>
      </c>
      <c r="E21" s="676">
        <v>4518644.0756419962</v>
      </c>
      <c r="F21" s="688">
        <v>171745.24870051449</v>
      </c>
      <c r="G21" s="688">
        <v>20069.97</v>
      </c>
      <c r="H21" s="676">
        <f t="shared" si="1"/>
        <v>1265174.1385254764</v>
      </c>
      <c r="I21" s="688">
        <v>256847.79451242267</v>
      </c>
      <c r="J21" s="688">
        <v>859780.1420333687</v>
      </c>
      <c r="K21" s="688">
        <v>145949.06996096874</v>
      </c>
      <c r="L21" s="688">
        <v>2597.132018716391</v>
      </c>
    </row>
    <row r="22" spans="1:12">
      <c r="A22" s="504">
        <v>16</v>
      </c>
      <c r="B22" s="520" t="s">
        <v>532</v>
      </c>
      <c r="C22" s="689">
        <f t="shared" si="0"/>
        <v>10007497.511466699</v>
      </c>
      <c r="D22" s="676">
        <v>9387671.6101956144</v>
      </c>
      <c r="E22" s="676">
        <v>555602.44416416867</v>
      </c>
      <c r="F22" s="688">
        <v>64223.457106915361</v>
      </c>
      <c r="G22" s="688"/>
      <c r="H22" s="676">
        <f t="shared" si="1"/>
        <v>199135.47635729925</v>
      </c>
      <c r="I22" s="688">
        <v>73241.585241581663</v>
      </c>
      <c r="J22" s="688">
        <v>71409.41533268262</v>
      </c>
      <c r="K22" s="688">
        <v>54484.475783034977</v>
      </c>
      <c r="L22" s="688"/>
    </row>
    <row r="23" spans="1:12">
      <c r="A23" s="504">
        <v>17</v>
      </c>
      <c r="B23" s="520" t="s">
        <v>533</v>
      </c>
      <c r="C23" s="689">
        <f t="shared" si="0"/>
        <v>784378.47379218286</v>
      </c>
      <c r="D23" s="676">
        <v>759098.44191045023</v>
      </c>
      <c r="E23" s="676">
        <v>25060.641881732565</v>
      </c>
      <c r="F23" s="688">
        <v>219.39</v>
      </c>
      <c r="G23" s="688"/>
      <c r="H23" s="676">
        <f t="shared" si="1"/>
        <v>13058.222812471871</v>
      </c>
      <c r="I23" s="688">
        <v>7974.871840155849</v>
      </c>
      <c r="J23" s="688">
        <v>4897.8989606006635</v>
      </c>
      <c r="K23" s="688">
        <v>185.45201171535899</v>
      </c>
      <c r="L23" s="688"/>
    </row>
    <row r="24" spans="1:12">
      <c r="A24" s="504">
        <v>18</v>
      </c>
      <c r="B24" s="520" t="s">
        <v>534</v>
      </c>
      <c r="C24" s="689">
        <f t="shared" si="0"/>
        <v>3015616.9397814926</v>
      </c>
      <c r="D24" s="676">
        <v>2844055.5365571966</v>
      </c>
      <c r="E24" s="676">
        <v>147003.32347504262</v>
      </c>
      <c r="F24" s="688">
        <v>24558.079749252945</v>
      </c>
      <c r="G24" s="688"/>
      <c r="H24" s="676">
        <f t="shared" si="1"/>
        <v>81648.465626761987</v>
      </c>
      <c r="I24" s="688">
        <v>38318.283190780974</v>
      </c>
      <c r="J24" s="688">
        <v>22398.78692651866</v>
      </c>
      <c r="K24" s="688">
        <v>20931.39550946236</v>
      </c>
      <c r="L24" s="688"/>
    </row>
    <row r="25" spans="1:12">
      <c r="A25" s="504">
        <v>19</v>
      </c>
      <c r="B25" s="520" t="s">
        <v>535</v>
      </c>
      <c r="C25" s="689">
        <f t="shared" si="0"/>
        <v>4858667.7230765447</v>
      </c>
      <c r="D25" s="676">
        <v>4722712.7143659797</v>
      </c>
      <c r="E25" s="676">
        <v>113432.02054232404</v>
      </c>
      <c r="F25" s="688">
        <v>22522.988168241103</v>
      </c>
      <c r="G25" s="688"/>
      <c r="H25" s="676">
        <f t="shared" si="1"/>
        <v>73494.047144166572</v>
      </c>
      <c r="I25" s="688">
        <v>35598.398171363864</v>
      </c>
      <c r="J25" s="688">
        <v>18529.95111789439</v>
      </c>
      <c r="K25" s="688">
        <v>19365.697854908321</v>
      </c>
      <c r="L25" s="688"/>
    </row>
    <row r="26" spans="1:12">
      <c r="A26" s="504">
        <v>20</v>
      </c>
      <c r="B26" s="520" t="s">
        <v>536</v>
      </c>
      <c r="C26" s="689">
        <f t="shared" si="0"/>
        <v>13330067.574090291</v>
      </c>
      <c r="D26" s="676">
        <v>13118175.600691434</v>
      </c>
      <c r="E26" s="676">
        <v>188629.57082648866</v>
      </c>
      <c r="F26" s="688">
        <v>17079.552572368342</v>
      </c>
      <c r="G26" s="688">
        <v>6182.85</v>
      </c>
      <c r="H26" s="676">
        <f t="shared" si="1"/>
        <v>153798.41564044476</v>
      </c>
      <c r="I26" s="688">
        <v>114133.48737383472</v>
      </c>
      <c r="J26" s="688">
        <v>25158.252992168331</v>
      </c>
      <c r="K26" s="688">
        <v>14437.473830821564</v>
      </c>
      <c r="L26" s="688">
        <v>69.201443620112599</v>
      </c>
    </row>
    <row r="27" spans="1:12">
      <c r="A27" s="504">
        <v>21</v>
      </c>
      <c r="B27" s="520" t="s">
        <v>537</v>
      </c>
      <c r="C27" s="689">
        <f t="shared" si="0"/>
        <v>1909823.1068211992</v>
      </c>
      <c r="D27" s="676">
        <v>1857100.7646239456</v>
      </c>
      <c r="E27" s="676">
        <v>52722.162197253732</v>
      </c>
      <c r="F27" s="688">
        <v>0.18</v>
      </c>
      <c r="G27" s="688"/>
      <c r="H27" s="676">
        <f t="shared" si="1"/>
        <v>34626.331413007982</v>
      </c>
      <c r="I27" s="688">
        <v>15144.644899688588</v>
      </c>
      <c r="J27" s="688">
        <v>19481.639898536938</v>
      </c>
      <c r="K27" s="688">
        <v>4.6614782453507898E-2</v>
      </c>
      <c r="L27" s="688"/>
    </row>
    <row r="28" spans="1:12">
      <c r="A28" s="504">
        <v>22</v>
      </c>
      <c r="B28" s="520" t="s">
        <v>538</v>
      </c>
      <c r="C28" s="689">
        <f t="shared" si="0"/>
        <v>628249.8170089859</v>
      </c>
      <c r="D28" s="676">
        <v>612254.96348209237</v>
      </c>
      <c r="E28" s="676">
        <v>15362.363526893512</v>
      </c>
      <c r="F28" s="688">
        <v>632.49</v>
      </c>
      <c r="G28" s="688"/>
      <c r="H28" s="676">
        <f t="shared" si="1"/>
        <v>8695.9775002967199</v>
      </c>
      <c r="I28" s="688">
        <v>6426.8853072766024</v>
      </c>
      <c r="J28" s="688">
        <v>1734.4436543909762</v>
      </c>
      <c r="K28" s="688">
        <v>534.64853862914197</v>
      </c>
      <c r="L28" s="688"/>
    </row>
    <row r="29" spans="1:12">
      <c r="A29" s="504">
        <v>23</v>
      </c>
      <c r="B29" s="520" t="s">
        <v>539</v>
      </c>
      <c r="C29" s="689">
        <f t="shared" si="0"/>
        <v>421339043.41253</v>
      </c>
      <c r="D29" s="676">
        <v>397204181.52673751</v>
      </c>
      <c r="E29" s="676">
        <v>20020308.18635004</v>
      </c>
      <c r="F29" s="688">
        <v>4086487.2694424111</v>
      </c>
      <c r="G29" s="688">
        <v>28066.43</v>
      </c>
      <c r="H29" s="676">
        <f t="shared" si="1"/>
        <v>10578055.44502856</v>
      </c>
      <c r="I29" s="688">
        <v>3824860.7509325272</v>
      </c>
      <c r="J29" s="688">
        <v>3356823.0652547311</v>
      </c>
      <c r="K29" s="688">
        <v>3396108.259608584</v>
      </c>
      <c r="L29" s="688">
        <v>263.36923271828186</v>
      </c>
    </row>
    <row r="30" spans="1:12">
      <c r="A30" s="504">
        <v>24</v>
      </c>
      <c r="B30" s="520" t="s">
        <v>540</v>
      </c>
      <c r="C30" s="689">
        <f t="shared" si="0"/>
        <v>771191804.76258445</v>
      </c>
      <c r="D30" s="676">
        <v>733218009.32292747</v>
      </c>
      <c r="E30" s="676">
        <v>32479317.528878972</v>
      </c>
      <c r="F30" s="688">
        <v>5407070.3807780547</v>
      </c>
      <c r="G30" s="688">
        <v>87407.53</v>
      </c>
      <c r="H30" s="676">
        <f t="shared" si="1"/>
        <v>16184666.256915098</v>
      </c>
      <c r="I30" s="688">
        <v>6886623.504149545</v>
      </c>
      <c r="J30" s="688">
        <v>4707136.6625586255</v>
      </c>
      <c r="K30" s="688">
        <v>4579505.1111301519</v>
      </c>
      <c r="L30" s="688">
        <v>11400.979076775395</v>
      </c>
    </row>
    <row r="31" spans="1:12">
      <c r="A31" s="504">
        <v>25</v>
      </c>
      <c r="B31" s="520" t="s">
        <v>541</v>
      </c>
      <c r="C31" s="689">
        <f t="shared" si="0"/>
        <v>142453201.39114273</v>
      </c>
      <c r="D31" s="676">
        <v>136328507.5022631</v>
      </c>
      <c r="E31" s="676">
        <v>4719528.9375585718</v>
      </c>
      <c r="F31" s="688">
        <v>1382172.6613210619</v>
      </c>
      <c r="G31" s="688">
        <v>22992.29</v>
      </c>
      <c r="H31" s="676">
        <f t="shared" si="1"/>
        <v>3055730.2051247638</v>
      </c>
      <c r="I31" s="688">
        <v>1215554.9581448121</v>
      </c>
      <c r="J31" s="688">
        <v>728982.88919368177</v>
      </c>
      <c r="K31" s="688">
        <v>1110940.1943105732</v>
      </c>
      <c r="L31" s="688">
        <v>252.16347569688602</v>
      </c>
    </row>
    <row r="32" spans="1:12">
      <c r="A32" s="504">
        <v>26</v>
      </c>
      <c r="B32" s="520" t="s">
        <v>597</v>
      </c>
      <c r="C32" s="689">
        <f t="shared" si="0"/>
        <v>56889764.383281834</v>
      </c>
      <c r="D32" s="676">
        <v>53924808.938597687</v>
      </c>
      <c r="E32" s="676">
        <v>2488902.5198395457</v>
      </c>
      <c r="F32" s="688">
        <v>461061.02484459843</v>
      </c>
      <c r="G32" s="688">
        <v>14991.900000000001</v>
      </c>
      <c r="H32" s="676">
        <f t="shared" si="1"/>
        <v>1342074.9301864137</v>
      </c>
      <c r="I32" s="688">
        <v>605569.23074999393</v>
      </c>
      <c r="J32" s="688">
        <v>344000.19925089739</v>
      </c>
      <c r="K32" s="688">
        <v>392348.8725848812</v>
      </c>
      <c r="L32" s="688">
        <v>156.62760064121781</v>
      </c>
    </row>
    <row r="33" spans="1:12">
      <c r="A33" s="504">
        <v>27</v>
      </c>
      <c r="B33" s="571" t="s">
        <v>66</v>
      </c>
      <c r="C33" s="690">
        <f t="shared" si="0"/>
        <v>1917801980.2274413</v>
      </c>
      <c r="D33" s="683">
        <f>SUM(D7:D32)</f>
        <v>1817959858.334774</v>
      </c>
      <c r="E33" s="683">
        <f t="shared" ref="E33:G33" si="2">SUM(E7:E32)</f>
        <v>85622610.7824101</v>
      </c>
      <c r="F33" s="683">
        <f t="shared" si="2"/>
        <v>13966994.600257091</v>
      </c>
      <c r="G33" s="683">
        <f t="shared" si="2"/>
        <v>252516.51</v>
      </c>
      <c r="H33" s="675">
        <f t="shared" ref="H33" si="3">SUM(I33:L33)</f>
        <v>41078457.181731097</v>
      </c>
      <c r="I33" s="683">
        <f t="shared" ref="I33" si="4">SUM(I7:I32)</f>
        <v>16494443.902351201</v>
      </c>
      <c r="J33" s="683">
        <f t="shared" ref="J33" si="5">SUM(J7:J32)</f>
        <v>12880222.926380556</v>
      </c>
      <c r="K33" s="683">
        <f t="shared" ref="K33" si="6">SUM(K7:K32)</f>
        <v>11688236.707810026</v>
      </c>
      <c r="L33" s="683">
        <f t="shared" ref="L33" si="7">SUM(L7:L32)</f>
        <v>15553.645189311597</v>
      </c>
    </row>
    <row r="35" spans="1:12">
      <c r="B35" s="570"/>
      <c r="C35" s="570"/>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topLeftCell="B1" zoomScale="80" zoomScaleNormal="80" workbookViewId="0">
      <selection activeCell="K6" sqref="K6"/>
    </sheetView>
  </sheetViews>
  <sheetFormatPr defaultColWidth="8.77734375" defaultRowHeight="12"/>
  <cols>
    <col min="1" max="1" width="11.77734375" style="399" bestFit="1" customWidth="1"/>
    <col min="2" max="2" width="59.21875" style="399" customWidth="1"/>
    <col min="3" max="3" width="18.88671875" style="399" bestFit="1" customWidth="1"/>
    <col min="4" max="4" width="25.77734375" style="399" bestFit="1" customWidth="1"/>
    <col min="5" max="5" width="23" style="399" bestFit="1" customWidth="1"/>
    <col min="6" max="6" width="25.109375" style="399" bestFit="1" customWidth="1"/>
    <col min="7" max="7" width="18.21875" style="399" bestFit="1" customWidth="1"/>
    <col min="8" max="8" width="25.5546875" style="399" bestFit="1" customWidth="1"/>
    <col min="9" max="9" width="22.5546875" style="399" bestFit="1" customWidth="1"/>
    <col min="10" max="10" width="18.21875" style="399" bestFit="1" customWidth="1"/>
    <col min="11" max="11" width="21.109375" style="399" bestFit="1" customWidth="1"/>
    <col min="12" max="16384" width="8.77734375" style="399"/>
  </cols>
  <sheetData>
    <row r="1" spans="1:11" s="392" customFormat="1" ht="13.8">
      <c r="A1" s="391" t="s">
        <v>108</v>
      </c>
      <c r="B1" s="310" t="str">
        <f>Info!C2</f>
        <v>კრედო</v>
      </c>
      <c r="C1" s="517"/>
      <c r="D1" s="517"/>
      <c r="E1" s="517"/>
      <c r="F1" s="517"/>
      <c r="G1" s="517"/>
      <c r="H1" s="517"/>
      <c r="I1" s="517"/>
      <c r="J1" s="517"/>
      <c r="K1" s="517"/>
    </row>
    <row r="2" spans="1:11" s="392" customFormat="1">
      <c r="A2" s="391" t="s">
        <v>109</v>
      </c>
      <c r="B2" s="394">
        <f>'1. key ratios'!B2</f>
        <v>45199</v>
      </c>
      <c r="C2" s="517"/>
      <c r="D2" s="517"/>
      <c r="E2" s="517"/>
      <c r="F2" s="517"/>
      <c r="G2" s="517"/>
      <c r="H2" s="517"/>
      <c r="I2" s="517"/>
      <c r="J2" s="517"/>
      <c r="K2" s="517"/>
    </row>
    <row r="3" spans="1:11" s="392" customFormat="1">
      <c r="A3" s="393" t="s">
        <v>598</v>
      </c>
      <c r="B3" s="517"/>
      <c r="C3" s="517"/>
      <c r="D3" s="517"/>
      <c r="E3" s="517"/>
      <c r="F3" s="517"/>
      <c r="G3" s="517"/>
      <c r="H3" s="517"/>
      <c r="I3" s="517"/>
      <c r="J3" s="517"/>
      <c r="K3" s="517"/>
    </row>
    <row r="4" spans="1:11">
      <c r="A4" s="575"/>
      <c r="B4" s="575"/>
      <c r="C4" s="574" t="s">
        <v>502</v>
      </c>
      <c r="D4" s="574" t="s">
        <v>503</v>
      </c>
      <c r="E4" s="574" t="s">
        <v>504</v>
      </c>
      <c r="F4" s="574" t="s">
        <v>505</v>
      </c>
      <c r="G4" s="574" t="s">
        <v>506</v>
      </c>
      <c r="H4" s="574" t="s">
        <v>507</v>
      </c>
      <c r="I4" s="574" t="s">
        <v>508</v>
      </c>
      <c r="J4" s="574" t="s">
        <v>509</v>
      </c>
      <c r="K4" s="574" t="s">
        <v>510</v>
      </c>
    </row>
    <row r="5" spans="1:11" ht="103.95" customHeight="1">
      <c r="A5" s="922" t="s">
        <v>910</v>
      </c>
      <c r="B5" s="923"/>
      <c r="C5" s="573" t="s">
        <v>599</v>
      </c>
      <c r="D5" s="573" t="s">
        <v>592</v>
      </c>
      <c r="E5" s="573" t="s">
        <v>593</v>
      </c>
      <c r="F5" s="573" t="s">
        <v>909</v>
      </c>
      <c r="G5" s="573" t="s">
        <v>600</v>
      </c>
      <c r="H5" s="573" t="s">
        <v>601</v>
      </c>
      <c r="I5" s="573" t="s">
        <v>602</v>
      </c>
      <c r="J5" s="573" t="s">
        <v>603</v>
      </c>
      <c r="K5" s="573" t="s">
        <v>604</v>
      </c>
    </row>
    <row r="6" spans="1:11" ht="13.8">
      <c r="A6" s="504">
        <v>1</v>
      </c>
      <c r="B6" s="504" t="s">
        <v>605</v>
      </c>
      <c r="C6" s="696">
        <v>4946313.8270000024</v>
      </c>
      <c r="D6" s="781">
        <v>91408</v>
      </c>
      <c r="E6" s="696"/>
      <c r="F6" s="696">
        <v>1597.5715524799177</v>
      </c>
      <c r="G6" s="696">
        <v>501793260.38749886</v>
      </c>
      <c r="H6" s="696"/>
      <c r="I6" s="696">
        <v>68168894.353488341</v>
      </c>
      <c r="J6" s="696">
        <v>264820344.2122694</v>
      </c>
      <c r="K6" s="696">
        <v>1077980161.8756309</v>
      </c>
    </row>
    <row r="7" spans="1:11" ht="13.8">
      <c r="A7" s="504">
        <v>2</v>
      </c>
      <c r="B7" s="504" t="s">
        <v>606</v>
      </c>
      <c r="C7" s="748"/>
      <c r="D7" s="748"/>
      <c r="E7" s="748"/>
      <c r="F7" s="748"/>
      <c r="G7" s="748"/>
      <c r="H7" s="748"/>
      <c r="I7" s="748"/>
      <c r="J7" s="748"/>
      <c r="K7" s="748"/>
    </row>
    <row r="8" spans="1:11" ht="13.8">
      <c r="A8" s="504">
        <v>3</v>
      </c>
      <c r="B8" s="504" t="s">
        <v>570</v>
      </c>
      <c r="C8" s="696">
        <v>1339150</v>
      </c>
      <c r="D8" s="748"/>
      <c r="E8" s="748"/>
      <c r="F8" s="748"/>
      <c r="G8" s="696">
        <v>379000</v>
      </c>
      <c r="H8" s="748"/>
      <c r="I8" s="748"/>
      <c r="J8" s="748"/>
      <c r="K8" s="696">
        <v>46499598.619999997</v>
      </c>
    </row>
    <row r="9" spans="1:11" ht="13.8">
      <c r="A9" s="504">
        <v>4</v>
      </c>
      <c r="B9" s="524" t="s">
        <v>908</v>
      </c>
      <c r="C9" s="749"/>
      <c r="D9" s="748"/>
      <c r="E9" s="749"/>
      <c r="F9" s="749"/>
      <c r="G9" s="747">
        <v>1192994.8310655709</v>
      </c>
      <c r="H9" s="749"/>
      <c r="I9" s="747">
        <v>340000.41028299922</v>
      </c>
      <c r="J9" s="747">
        <v>1654659.602360737</v>
      </c>
      <c r="K9" s="747">
        <v>11031856.266547794</v>
      </c>
    </row>
    <row r="10" spans="1:11" ht="13.8">
      <c r="A10" s="504">
        <v>5</v>
      </c>
      <c r="B10" s="524" t="s">
        <v>907</v>
      </c>
      <c r="C10" s="749"/>
      <c r="D10" s="749"/>
      <c r="E10" s="749"/>
      <c r="F10" s="749"/>
      <c r="G10" s="749"/>
      <c r="H10" s="749"/>
      <c r="I10" s="749"/>
      <c r="J10" s="749"/>
      <c r="K10" s="749"/>
    </row>
    <row r="11" spans="1:11" ht="13.8">
      <c r="A11" s="504">
        <v>6</v>
      </c>
      <c r="B11" s="524" t="s">
        <v>906</v>
      </c>
      <c r="C11" s="749"/>
      <c r="D11" s="749"/>
      <c r="E11" s="749"/>
      <c r="F11" s="749"/>
      <c r="G11" s="749"/>
      <c r="H11" s="749"/>
      <c r="I11" s="749"/>
      <c r="J11" s="749"/>
      <c r="K11" s="749"/>
    </row>
    <row r="12" spans="1:11">
      <c r="C12" s="750"/>
      <c r="D12" s="750"/>
      <c r="E12" s="750"/>
      <c r="F12" s="750"/>
      <c r="G12" s="750"/>
      <c r="H12" s="750"/>
      <c r="I12" s="750"/>
      <c r="J12" s="750"/>
      <c r="K12" s="750"/>
    </row>
    <row r="13" spans="1:11" ht="13.8">
      <c r="B13" s="572"/>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topLeftCell="B1" zoomScale="97" zoomScaleNormal="100" workbookViewId="0">
      <pane xSplit="1" topLeftCell="U1" activePane="topRight" state="frozen"/>
      <selection activeCell="B4" sqref="B4"/>
      <selection pane="topRight" activeCell="U19" sqref="U19"/>
    </sheetView>
  </sheetViews>
  <sheetFormatPr defaultColWidth="8.77734375" defaultRowHeight="14.4"/>
  <cols>
    <col min="1" max="1" width="10" style="576" hidden="1" customWidth="1"/>
    <col min="2" max="2" width="71.77734375" style="576" customWidth="1"/>
    <col min="3" max="3" width="11.33203125" style="576" bestFit="1" customWidth="1"/>
    <col min="4" max="5" width="15.21875" style="576" bestFit="1" customWidth="1"/>
    <col min="6" max="6" width="20" style="576" bestFit="1" customWidth="1"/>
    <col min="7" max="7" width="37.6640625" style="576" bestFit="1" customWidth="1"/>
    <col min="8" max="8" width="11.33203125" style="576" bestFit="1" customWidth="1"/>
    <col min="9" max="10" width="15.21875" style="576" bestFit="1" customWidth="1"/>
    <col min="11" max="11" width="20" style="576" bestFit="1" customWidth="1"/>
    <col min="12" max="12" width="37.6640625" style="576" bestFit="1" customWidth="1"/>
    <col min="13" max="13" width="10.6640625" style="576" bestFit="1" customWidth="1"/>
    <col min="14" max="15" width="15.21875" style="576" bestFit="1" customWidth="1"/>
    <col min="16" max="16" width="20" style="576" bestFit="1" customWidth="1"/>
    <col min="17" max="17" width="37.6640625" style="576" bestFit="1" customWidth="1"/>
    <col min="18" max="18" width="18" style="576" bestFit="1" customWidth="1"/>
    <col min="19" max="19" width="48" style="576" bestFit="1" customWidth="1"/>
    <col min="20" max="20" width="45.77734375" style="576" bestFit="1" customWidth="1"/>
    <col min="21" max="21" width="48" style="576" bestFit="1" customWidth="1"/>
    <col min="22" max="22" width="44.33203125" style="576" bestFit="1" customWidth="1"/>
    <col min="23" max="16384" width="8.77734375" style="576"/>
  </cols>
  <sheetData>
    <row r="1" spans="1:22">
      <c r="A1" s="391" t="s">
        <v>108</v>
      </c>
      <c r="B1" s="310" t="str">
        <f>Info!C2</f>
        <v>კრედო</v>
      </c>
    </row>
    <row r="2" spans="1:22">
      <c r="A2" s="391" t="s">
        <v>109</v>
      </c>
      <c r="B2" s="394">
        <f>'1. key ratios'!B2</f>
        <v>45199</v>
      </c>
    </row>
    <row r="3" spans="1:22">
      <c r="A3" s="393" t="s">
        <v>690</v>
      </c>
      <c r="B3" s="517"/>
    </row>
    <row r="4" spans="1:22">
      <c r="A4" s="393"/>
      <c r="B4" s="517"/>
    </row>
    <row r="5" spans="1:22" ht="24" customHeight="1">
      <c r="A5" s="924" t="s">
        <v>718</v>
      </c>
      <c r="B5" s="924"/>
      <c r="C5" s="926" t="s">
        <v>912</v>
      </c>
      <c r="D5" s="926"/>
      <c r="E5" s="926"/>
      <c r="F5" s="926"/>
      <c r="G5" s="926"/>
      <c r="H5" s="926" t="s">
        <v>596</v>
      </c>
      <c r="I5" s="926"/>
      <c r="J5" s="926"/>
      <c r="K5" s="926"/>
      <c r="L5" s="926"/>
      <c r="M5" s="926" t="s">
        <v>911</v>
      </c>
      <c r="N5" s="926"/>
      <c r="O5" s="926"/>
      <c r="P5" s="926"/>
      <c r="Q5" s="926"/>
      <c r="R5" s="925" t="s">
        <v>716</v>
      </c>
      <c r="S5" s="925" t="s">
        <v>721</v>
      </c>
      <c r="T5" s="925" t="s">
        <v>720</v>
      </c>
      <c r="U5" s="925" t="s">
        <v>992</v>
      </c>
      <c r="V5" s="925" t="s">
        <v>993</v>
      </c>
    </row>
    <row r="6" spans="1:22" ht="36" customHeight="1">
      <c r="A6" s="924"/>
      <c r="B6" s="924"/>
      <c r="C6" s="585"/>
      <c r="D6" s="515" t="s">
        <v>895</v>
      </c>
      <c r="E6" s="515" t="s">
        <v>894</v>
      </c>
      <c r="F6" s="515" t="s">
        <v>893</v>
      </c>
      <c r="G6" s="515" t="s">
        <v>892</v>
      </c>
      <c r="H6" s="585"/>
      <c r="I6" s="515" t="s">
        <v>895</v>
      </c>
      <c r="J6" s="515" t="s">
        <v>894</v>
      </c>
      <c r="K6" s="515" t="s">
        <v>893</v>
      </c>
      <c r="L6" s="515" t="s">
        <v>892</v>
      </c>
      <c r="M6" s="585"/>
      <c r="N6" s="515" t="s">
        <v>895</v>
      </c>
      <c r="O6" s="515" t="s">
        <v>894</v>
      </c>
      <c r="P6" s="515" t="s">
        <v>893</v>
      </c>
      <c r="Q6" s="515" t="s">
        <v>892</v>
      </c>
      <c r="R6" s="925"/>
      <c r="S6" s="925"/>
      <c r="T6" s="925"/>
      <c r="U6" s="925"/>
      <c r="V6" s="925"/>
    </row>
    <row r="7" spans="1:22">
      <c r="A7" s="580">
        <v>1</v>
      </c>
      <c r="B7" s="584" t="s">
        <v>691</v>
      </c>
      <c r="C7" s="753">
        <f>SUM(D7:G7)</f>
        <v>18034095.200000033</v>
      </c>
      <c r="D7" s="751">
        <v>17637723.620000035</v>
      </c>
      <c r="E7" s="751">
        <v>245746.50000000006</v>
      </c>
      <c r="F7" s="751">
        <v>118693.27</v>
      </c>
      <c r="G7" s="751">
        <v>31931.81</v>
      </c>
      <c r="H7" s="753">
        <f>SUM(I7:L7)</f>
        <v>18178753.263102774</v>
      </c>
      <c r="I7" s="751">
        <v>17740632.219038378</v>
      </c>
      <c r="J7" s="751">
        <v>255532.37926038567</v>
      </c>
      <c r="K7" s="751">
        <v>150509.08480400994</v>
      </c>
      <c r="L7" s="751">
        <v>32079.579999999998</v>
      </c>
      <c r="M7" s="753">
        <f>SUM(N7:Q7)</f>
        <v>365011.87198848027</v>
      </c>
      <c r="N7" s="751">
        <v>183495.45011837946</v>
      </c>
      <c r="O7" s="751">
        <v>58204.046096053236</v>
      </c>
      <c r="P7" s="751">
        <v>123009.14246813132</v>
      </c>
      <c r="Q7" s="751">
        <v>303.23330591626188</v>
      </c>
      <c r="R7" s="751">
        <v>11283</v>
      </c>
      <c r="S7" s="757">
        <v>0.23999999999999996</v>
      </c>
      <c r="T7" s="757">
        <v>0.31</v>
      </c>
      <c r="U7" s="757">
        <v>0.23</v>
      </c>
      <c r="V7" s="751">
        <v>36.220641999999998</v>
      </c>
    </row>
    <row r="8" spans="1:22">
      <c r="A8" s="580">
        <v>2</v>
      </c>
      <c r="B8" s="583" t="s">
        <v>692</v>
      </c>
      <c r="C8" s="753">
        <f t="shared" ref="C8:C18" si="0">SUM(D8:G8)</f>
        <v>866734873.72479844</v>
      </c>
      <c r="D8" s="751">
        <v>813545968.56929851</v>
      </c>
      <c r="E8" s="751">
        <v>47636711.544999875</v>
      </c>
      <c r="F8" s="751">
        <v>5470225.5304999994</v>
      </c>
      <c r="G8" s="751">
        <v>81968.08</v>
      </c>
      <c r="H8" s="753">
        <f t="shared" ref="H8:H18" si="1">SUM(I8:L8)</f>
        <v>862752493.67453134</v>
      </c>
      <c r="I8" s="751">
        <v>805932778.70006156</v>
      </c>
      <c r="J8" s="751">
        <v>49880096.60232839</v>
      </c>
      <c r="K8" s="751">
        <v>6857592.9221413471</v>
      </c>
      <c r="L8" s="751">
        <v>82025.45</v>
      </c>
      <c r="M8" s="753">
        <f t="shared" ref="M8:M18" si="2">SUM(N8:Q8)</f>
        <v>21681908.179148983</v>
      </c>
      <c r="N8" s="751">
        <v>8522453.892237911</v>
      </c>
      <c r="O8" s="751">
        <v>7308276.1967244176</v>
      </c>
      <c r="P8" s="751">
        <v>5850440.4108876437</v>
      </c>
      <c r="Q8" s="751">
        <v>737.67929901087143</v>
      </c>
      <c r="R8" s="755">
        <v>180163</v>
      </c>
      <c r="S8" s="757">
        <v>0.26</v>
      </c>
      <c r="T8" s="757">
        <v>0.36</v>
      </c>
      <c r="U8" s="757">
        <v>0.24</v>
      </c>
      <c r="V8" s="751">
        <v>34.365155000000001</v>
      </c>
    </row>
    <row r="9" spans="1:22">
      <c r="A9" s="580">
        <v>3</v>
      </c>
      <c r="B9" s="583" t="s">
        <v>693</v>
      </c>
      <c r="C9" s="753">
        <f t="shared" si="0"/>
        <v>0</v>
      </c>
      <c r="D9" s="751"/>
      <c r="E9" s="751">
        <v>0</v>
      </c>
      <c r="F9" s="751">
        <v>0</v>
      </c>
      <c r="G9" s="751">
        <v>0</v>
      </c>
      <c r="H9" s="753">
        <f t="shared" si="1"/>
        <v>0</v>
      </c>
      <c r="I9" s="751">
        <v>0</v>
      </c>
      <c r="J9" s="751">
        <v>0</v>
      </c>
      <c r="K9" s="751">
        <v>0</v>
      </c>
      <c r="L9" s="751">
        <v>0</v>
      </c>
      <c r="M9" s="753">
        <f t="shared" si="2"/>
        <v>0</v>
      </c>
      <c r="N9" s="751">
        <v>0</v>
      </c>
      <c r="O9" s="751">
        <v>0</v>
      </c>
      <c r="P9" s="751">
        <v>0</v>
      </c>
      <c r="Q9" s="751">
        <v>0</v>
      </c>
      <c r="R9" s="751">
        <v>0</v>
      </c>
      <c r="S9" s="757"/>
      <c r="T9" s="757"/>
      <c r="U9" s="757"/>
      <c r="V9" s="751">
        <v>0</v>
      </c>
    </row>
    <row r="10" spans="1:22">
      <c r="A10" s="580">
        <v>4</v>
      </c>
      <c r="B10" s="583" t="s">
        <v>694</v>
      </c>
      <c r="C10" s="753">
        <f t="shared" si="0"/>
        <v>170488590.56000146</v>
      </c>
      <c r="D10" s="751">
        <v>166096733.63000146</v>
      </c>
      <c r="E10" s="751">
        <v>2841508.9400000041</v>
      </c>
      <c r="F10" s="751">
        <v>1550347.99</v>
      </c>
      <c r="G10" s="751">
        <v>0</v>
      </c>
      <c r="H10" s="753">
        <f t="shared" si="1"/>
        <v>171461570.85333857</v>
      </c>
      <c r="I10" s="751">
        <v>166148214.04133803</v>
      </c>
      <c r="J10" s="751">
        <v>3104358.9614077508</v>
      </c>
      <c r="K10" s="751">
        <v>2208997.8505927813</v>
      </c>
      <c r="L10" s="751">
        <v>0</v>
      </c>
      <c r="M10" s="753">
        <f t="shared" si="2"/>
        <v>4899614.3391660508</v>
      </c>
      <c r="N10" s="751">
        <v>2305327.0548070655</v>
      </c>
      <c r="O10" s="751">
        <v>727004.84091427142</v>
      </c>
      <c r="P10" s="751">
        <v>1867282.4434447144</v>
      </c>
      <c r="Q10" s="751">
        <v>0</v>
      </c>
      <c r="R10" s="755">
        <v>234746</v>
      </c>
      <c r="S10" s="757">
        <v>7.0000000000000021E-2</v>
      </c>
      <c r="T10" s="757">
        <v>0.2434911705410569</v>
      </c>
      <c r="U10" s="757">
        <v>0.06</v>
      </c>
      <c r="V10" s="751">
        <v>11.450877</v>
      </c>
    </row>
    <row r="11" spans="1:22">
      <c r="A11" s="580">
        <v>5</v>
      </c>
      <c r="B11" s="583" t="s">
        <v>695</v>
      </c>
      <c r="C11" s="753">
        <f t="shared" si="0"/>
        <v>19160.900000000001</v>
      </c>
      <c r="D11" s="751">
        <v>17027.88</v>
      </c>
      <c r="E11" s="751">
        <v>0</v>
      </c>
      <c r="F11" s="751">
        <v>2133.02</v>
      </c>
      <c r="G11" s="751">
        <v>0</v>
      </c>
      <c r="H11" s="753">
        <f t="shared" si="1"/>
        <v>19686.21</v>
      </c>
      <c r="I11" s="751">
        <v>17495.63</v>
      </c>
      <c r="J11" s="751">
        <v>0</v>
      </c>
      <c r="K11" s="751">
        <v>2190.58</v>
      </c>
      <c r="L11" s="751">
        <v>0</v>
      </c>
      <c r="M11" s="753">
        <f t="shared" si="2"/>
        <v>5403.8708940826291</v>
      </c>
      <c r="N11" s="751">
        <v>3552.1571978183001</v>
      </c>
      <c r="O11" s="751">
        <v>0</v>
      </c>
      <c r="P11" s="751">
        <v>1851.713696264329</v>
      </c>
      <c r="Q11" s="751">
        <v>0</v>
      </c>
      <c r="R11" s="755">
        <v>18</v>
      </c>
      <c r="S11" s="757">
        <v>0.29240519248896263</v>
      </c>
      <c r="T11" s="757">
        <v>0.33755045657807126</v>
      </c>
      <c r="U11" s="757">
        <v>0.34</v>
      </c>
      <c r="V11" s="751">
        <v>0.85688600000000004</v>
      </c>
    </row>
    <row r="12" spans="1:22">
      <c r="A12" s="580">
        <v>6</v>
      </c>
      <c r="B12" s="583" t="s">
        <v>696</v>
      </c>
      <c r="C12" s="753">
        <f t="shared" si="0"/>
        <v>23854866.899999995</v>
      </c>
      <c r="D12" s="751">
        <v>23058967.269999996</v>
      </c>
      <c r="E12" s="751">
        <v>372176.55999999994</v>
      </c>
      <c r="F12" s="751">
        <v>423723.07</v>
      </c>
      <c r="G12" s="751">
        <v>0</v>
      </c>
      <c r="H12" s="753">
        <f t="shared" si="1"/>
        <v>23854941.12530341</v>
      </c>
      <c r="I12" s="751">
        <v>23058808.598964371</v>
      </c>
      <c r="J12" s="751">
        <v>372268.51746368431</v>
      </c>
      <c r="K12" s="751">
        <v>423864.0088753567</v>
      </c>
      <c r="L12" s="751">
        <v>0</v>
      </c>
      <c r="M12" s="753">
        <f t="shared" si="2"/>
        <v>881028.76125087484</v>
      </c>
      <c r="N12" s="751">
        <v>356820.52759136405</v>
      </c>
      <c r="O12" s="751">
        <v>165904.64613928777</v>
      </c>
      <c r="P12" s="751">
        <v>358303.58752022299</v>
      </c>
      <c r="Q12" s="751">
        <v>0</v>
      </c>
      <c r="R12" s="755">
        <v>41193</v>
      </c>
      <c r="S12" s="757">
        <v>0.30691158261716456</v>
      </c>
      <c r="T12" s="757">
        <v>0.37363504342086123</v>
      </c>
      <c r="U12" s="757">
        <v>0.31</v>
      </c>
      <c r="V12" s="751">
        <v>306.450219</v>
      </c>
    </row>
    <row r="13" spans="1:22">
      <c r="A13" s="580">
        <v>7</v>
      </c>
      <c r="B13" s="583" t="s">
        <v>697</v>
      </c>
      <c r="C13" s="753">
        <f t="shared" si="0"/>
        <v>187315022.0508002</v>
      </c>
      <c r="D13" s="754">
        <f t="shared" ref="D13:L13" si="3">SUM(D14:D16)</f>
        <v>182691633.31080019</v>
      </c>
      <c r="E13" s="754">
        <f t="shared" si="3"/>
        <v>3652535.72</v>
      </c>
      <c r="F13" s="754">
        <f t="shared" si="3"/>
        <v>919824.97</v>
      </c>
      <c r="G13" s="754">
        <f t="shared" si="3"/>
        <v>51028.05</v>
      </c>
      <c r="H13" s="753">
        <f t="shared" si="1"/>
        <v>186117103.83516848</v>
      </c>
      <c r="I13" s="754">
        <f t="shared" si="3"/>
        <v>181181562.61548537</v>
      </c>
      <c r="J13" s="754">
        <f t="shared" si="3"/>
        <v>3792782.7244197093</v>
      </c>
      <c r="K13" s="754">
        <f t="shared" si="3"/>
        <v>1090820.4452633904</v>
      </c>
      <c r="L13" s="754">
        <f t="shared" si="3"/>
        <v>51938.05</v>
      </c>
      <c r="M13" s="753">
        <f t="shared" si="2"/>
        <v>2691465.3092598566</v>
      </c>
      <c r="N13" s="754">
        <f t="shared" ref="N13:R13" si="4">SUM(N14:N16)</f>
        <v>1215196.4867730485</v>
      </c>
      <c r="O13" s="754">
        <f t="shared" si="4"/>
        <v>588230.24750123732</v>
      </c>
      <c r="P13" s="754">
        <f t="shared" si="4"/>
        <v>877036.05442323058</v>
      </c>
      <c r="Q13" s="754">
        <f t="shared" si="4"/>
        <v>11002.520562339976</v>
      </c>
      <c r="R13" s="754">
        <f t="shared" si="4"/>
        <v>16502</v>
      </c>
      <c r="S13" s="759">
        <v>0.20598294411007492</v>
      </c>
      <c r="T13" s="759">
        <v>0.27794883233022472</v>
      </c>
      <c r="U13" s="759">
        <v>0.18</v>
      </c>
      <c r="V13" s="754">
        <v>72</v>
      </c>
    </row>
    <row r="14" spans="1:22">
      <c r="A14" s="578">
        <v>7.1</v>
      </c>
      <c r="B14" s="577" t="s">
        <v>698</v>
      </c>
      <c r="C14" s="753">
        <f t="shared" si="0"/>
        <v>81795892.008099943</v>
      </c>
      <c r="D14" s="751">
        <v>81152876.598099932</v>
      </c>
      <c r="E14" s="751">
        <v>277437.51000000007</v>
      </c>
      <c r="F14" s="751">
        <v>362212.06</v>
      </c>
      <c r="G14" s="751">
        <v>3365.84</v>
      </c>
      <c r="H14" s="753">
        <f t="shared" si="1"/>
        <v>81412202.839289904</v>
      </c>
      <c r="I14" s="751">
        <v>80732346.462230608</v>
      </c>
      <c r="J14" s="751">
        <v>282913.4805334885</v>
      </c>
      <c r="K14" s="751">
        <v>393577.05652579165</v>
      </c>
      <c r="L14" s="751">
        <v>3365.84</v>
      </c>
      <c r="M14" s="753">
        <f t="shared" si="2"/>
        <v>598931.83420304966</v>
      </c>
      <c r="N14" s="751">
        <v>261003.80121243553</v>
      </c>
      <c r="O14" s="751">
        <v>58069.053675929841</v>
      </c>
      <c r="P14" s="751">
        <v>279830.88314367703</v>
      </c>
      <c r="Q14" s="751">
        <v>28.096171007256999</v>
      </c>
      <c r="R14" s="755">
        <v>1223</v>
      </c>
      <c r="S14" s="757">
        <v>0.15486314499453818</v>
      </c>
      <c r="T14" s="757">
        <v>0.18486314499453818</v>
      </c>
      <c r="U14" s="757">
        <v>0.13</v>
      </c>
      <c r="V14" s="751">
        <v>118.687789</v>
      </c>
    </row>
    <row r="15" spans="1:22" ht="24">
      <c r="A15" s="578">
        <v>7.2</v>
      </c>
      <c r="B15" s="577" t="s">
        <v>699</v>
      </c>
      <c r="C15" s="753">
        <f t="shared" si="0"/>
        <v>3597353.5453000017</v>
      </c>
      <c r="D15" s="751">
        <v>3568041.1653000019</v>
      </c>
      <c r="E15" s="751">
        <v>29312.379999999997</v>
      </c>
      <c r="F15" s="751">
        <v>0</v>
      </c>
      <c r="G15" s="751">
        <v>0</v>
      </c>
      <c r="H15" s="753">
        <f t="shared" si="1"/>
        <v>3588537.5704499953</v>
      </c>
      <c r="I15" s="751">
        <v>3557941.5304493811</v>
      </c>
      <c r="J15" s="751">
        <v>30596.040000614114</v>
      </c>
      <c r="K15" s="751">
        <v>0</v>
      </c>
      <c r="L15" s="751">
        <v>0</v>
      </c>
      <c r="M15" s="753">
        <f t="shared" si="2"/>
        <v>12046.250661847316</v>
      </c>
      <c r="N15" s="751">
        <v>10115.67790718498</v>
      </c>
      <c r="O15" s="751">
        <v>1930.572754662337</v>
      </c>
      <c r="P15" s="751">
        <v>0</v>
      </c>
      <c r="Q15" s="751">
        <v>0</v>
      </c>
      <c r="R15" s="755">
        <v>60</v>
      </c>
      <c r="S15" s="757">
        <v>0.1535763097949886</v>
      </c>
      <c r="T15" s="757">
        <v>0.18715261958997723</v>
      </c>
      <c r="U15" s="757">
        <v>0.13</v>
      </c>
      <c r="V15" s="751">
        <v>100.594059</v>
      </c>
    </row>
    <row r="16" spans="1:22">
      <c r="A16" s="578">
        <v>7.3</v>
      </c>
      <c r="B16" s="577" t="s">
        <v>700</v>
      </c>
      <c r="C16" s="753">
        <f t="shared" si="0"/>
        <v>101921776.49740027</v>
      </c>
      <c r="D16" s="751">
        <v>97970715.547400281</v>
      </c>
      <c r="E16" s="751">
        <v>3345785.83</v>
      </c>
      <c r="F16" s="751">
        <v>557612.91</v>
      </c>
      <c r="G16" s="751">
        <v>47662.210000000006</v>
      </c>
      <c r="H16" s="753">
        <f t="shared" si="1"/>
        <v>101116363.42542858</v>
      </c>
      <c r="I16" s="751">
        <v>96891274.622805387</v>
      </c>
      <c r="J16" s="751">
        <v>3479273.2038856065</v>
      </c>
      <c r="K16" s="751">
        <v>697243.3887375989</v>
      </c>
      <c r="L16" s="751">
        <v>48572.21</v>
      </c>
      <c r="M16" s="753">
        <f t="shared" si="2"/>
        <v>2080487.2243949594</v>
      </c>
      <c r="N16" s="751">
        <v>944077.00765342789</v>
      </c>
      <c r="O16" s="751">
        <v>528230.62107064517</v>
      </c>
      <c r="P16" s="751">
        <v>597205.17127955356</v>
      </c>
      <c r="Q16" s="751">
        <v>10974.424391332719</v>
      </c>
      <c r="R16" s="755">
        <v>15219</v>
      </c>
      <c r="S16" s="757">
        <v>0.24316895497423829</v>
      </c>
      <c r="T16" s="757">
        <v>0.33316895497423832</v>
      </c>
      <c r="U16" s="757">
        <v>0.22</v>
      </c>
      <c r="V16" s="751">
        <v>33.482390000000002</v>
      </c>
    </row>
    <row r="17" spans="1:22">
      <c r="A17" s="580">
        <v>8</v>
      </c>
      <c r="B17" s="583" t="s">
        <v>701</v>
      </c>
      <c r="C17" s="753">
        <f t="shared" si="0"/>
        <v>0</v>
      </c>
      <c r="D17" s="751"/>
      <c r="E17" s="751"/>
      <c r="F17" s="751">
        <v>0</v>
      </c>
      <c r="G17" s="751">
        <v>0</v>
      </c>
      <c r="H17" s="753">
        <f t="shared" si="1"/>
        <v>0</v>
      </c>
      <c r="I17" s="751"/>
      <c r="J17" s="751"/>
      <c r="K17" s="751"/>
      <c r="L17" s="751">
        <v>0</v>
      </c>
      <c r="M17" s="753">
        <f t="shared" si="2"/>
        <v>0</v>
      </c>
      <c r="N17" s="751">
        <v>0</v>
      </c>
      <c r="O17" s="751">
        <v>0</v>
      </c>
      <c r="P17" s="751">
        <v>0</v>
      </c>
      <c r="Q17" s="751">
        <v>0</v>
      </c>
      <c r="R17" s="755">
        <v>0</v>
      </c>
      <c r="S17" s="757"/>
      <c r="T17" s="757"/>
      <c r="U17" s="757"/>
      <c r="V17" s="751">
        <v>0</v>
      </c>
    </row>
    <row r="18" spans="1:22">
      <c r="A18" s="582">
        <v>9</v>
      </c>
      <c r="B18" s="581" t="s">
        <v>702</v>
      </c>
      <c r="C18" s="753">
        <f t="shared" si="0"/>
        <v>4228693.1223999998</v>
      </c>
      <c r="D18" s="752">
        <v>4170874.36</v>
      </c>
      <c r="E18" s="752">
        <v>54813.7624</v>
      </c>
      <c r="F18" s="751">
        <v>3005</v>
      </c>
      <c r="G18" s="752">
        <v>0</v>
      </c>
      <c r="H18" s="753">
        <f t="shared" si="1"/>
        <v>4250518.7551830383</v>
      </c>
      <c r="I18" s="751">
        <v>4191203.6156556997</v>
      </c>
      <c r="J18" s="751">
        <v>55405.577145151547</v>
      </c>
      <c r="K18" s="751">
        <v>3909.5623821864315</v>
      </c>
      <c r="L18" s="752">
        <v>0</v>
      </c>
      <c r="M18" s="753">
        <f t="shared" si="2"/>
        <v>71146.79109726577</v>
      </c>
      <c r="N18" s="752">
        <v>52971.437918876691</v>
      </c>
      <c r="O18" s="752">
        <v>14870.570787654933</v>
      </c>
      <c r="P18" s="752">
        <v>3304.7823907341462</v>
      </c>
      <c r="Q18" s="752">
        <v>0</v>
      </c>
      <c r="R18" s="756">
        <v>1522</v>
      </c>
      <c r="S18" s="757">
        <v>3.9380664841480839E-2</v>
      </c>
      <c r="T18" s="757">
        <v>5.0030280228902067E-2</v>
      </c>
      <c r="U18" s="758">
        <v>0.06</v>
      </c>
      <c r="V18" s="752">
        <v>47.305525000000003</v>
      </c>
    </row>
    <row r="19" spans="1:22">
      <c r="A19" s="580">
        <v>10</v>
      </c>
      <c r="B19" s="579" t="s">
        <v>719</v>
      </c>
      <c r="C19" s="753">
        <f>SUM(C7:C13)+C17+C18</f>
        <v>1270675302.4580004</v>
      </c>
      <c r="D19" s="753">
        <f t="shared" ref="D19:G19" si="5">SUM(D7:D13)+D17+D18</f>
        <v>1207218928.6401</v>
      </c>
      <c r="E19" s="753">
        <f t="shared" si="5"/>
        <v>54803493.027399883</v>
      </c>
      <c r="F19" s="753">
        <f t="shared" si="5"/>
        <v>8487952.8504999988</v>
      </c>
      <c r="G19" s="753">
        <f t="shared" si="5"/>
        <v>164927.94</v>
      </c>
      <c r="H19" s="753">
        <f>SUM(H7:H13)+H17+H18</f>
        <v>1266635067.7166278</v>
      </c>
      <c r="I19" s="753">
        <f t="shared" ref="I19:L19" si="6">SUM(I7:I13)+I17+I18</f>
        <v>1198270695.4205434</v>
      </c>
      <c r="J19" s="753">
        <f t="shared" si="6"/>
        <v>57460444.762025066</v>
      </c>
      <c r="K19" s="753">
        <f t="shared" si="6"/>
        <v>10737884.45405907</v>
      </c>
      <c r="L19" s="753">
        <f t="shared" si="6"/>
        <v>166043.08000000002</v>
      </c>
      <c r="M19" s="753">
        <f>SUM(M7:M13)+M17+M18</f>
        <v>30595579.122805595</v>
      </c>
      <c r="N19" s="753">
        <f t="shared" ref="N19:R19" si="7">SUM(N7:N13)+N17+N18</f>
        <v>12639817.006644463</v>
      </c>
      <c r="O19" s="753">
        <f t="shared" si="7"/>
        <v>8862490.5481629223</v>
      </c>
      <c r="P19" s="753">
        <f t="shared" si="7"/>
        <v>9081228.1348309424</v>
      </c>
      <c r="Q19" s="753">
        <f t="shared" si="7"/>
        <v>12043.433167267109</v>
      </c>
      <c r="R19" s="753">
        <f t="shared" si="7"/>
        <v>485427</v>
      </c>
      <c r="S19" s="759">
        <v>0.21129999999999999</v>
      </c>
      <c r="T19" s="759">
        <v>0.31940000000000002</v>
      </c>
      <c r="U19" s="984">
        <v>0.20744408261876149</v>
      </c>
      <c r="V19" s="760">
        <v>41.99</v>
      </c>
    </row>
    <row r="20" spans="1:22" ht="24">
      <c r="A20" s="578">
        <v>10.1</v>
      </c>
      <c r="B20" s="577" t="s">
        <v>722</v>
      </c>
      <c r="C20" s="753">
        <f>SUM(D20:G20)</f>
        <v>971287.85</v>
      </c>
      <c r="D20" s="755">
        <v>962896.12</v>
      </c>
      <c r="E20" s="755">
        <v>3829.2000000000003</v>
      </c>
      <c r="F20" s="755">
        <v>4562.53</v>
      </c>
      <c r="G20" s="755"/>
      <c r="H20" s="753">
        <f>SUM(I20:L20)</f>
        <v>966967.22538562515</v>
      </c>
      <c r="I20" s="755">
        <v>957565.73686889128</v>
      </c>
      <c r="J20" s="755">
        <v>3814.8923517528101</v>
      </c>
      <c r="K20" s="755">
        <v>5586.5961649810697</v>
      </c>
      <c r="L20" s="755"/>
      <c r="M20" s="753">
        <f>SUM(N20:Q20)</f>
        <v>16079.44454641789</v>
      </c>
      <c r="N20" s="755">
        <v>10882.318213701243</v>
      </c>
      <c r="O20" s="755">
        <v>411.87049420089693</v>
      </c>
      <c r="P20" s="755">
        <v>4785.2558385157499</v>
      </c>
      <c r="Q20" s="755"/>
      <c r="R20" s="755">
        <v>493</v>
      </c>
      <c r="S20" s="789">
        <v>0.27660000000000001</v>
      </c>
      <c r="T20" s="789">
        <v>0.36020000000000002</v>
      </c>
      <c r="U20" s="789">
        <v>0.24110000000000001</v>
      </c>
      <c r="V20" s="790">
        <v>29.68</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ignoredErrors>
    <ignoredError sqref="C19 M19 H19 H13" formula="1"/>
    <ignoredError sqref="M7:M12 M14:M18 D13:F13 I13:K13" formulaRange="1"/>
    <ignoredError sqref="M13"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9"/>
  <sheetViews>
    <sheetView topLeftCell="A32" zoomScale="90" zoomScaleNormal="90" workbookViewId="0">
      <selection activeCell="G33" sqref="G33"/>
    </sheetView>
  </sheetViews>
  <sheetFormatPr defaultRowHeight="14.4"/>
  <cols>
    <col min="1" max="1" width="8.77734375" style="464"/>
    <col min="2" max="2" width="69.21875" style="437" customWidth="1"/>
    <col min="3" max="8" width="15" bestFit="1" customWidth="1"/>
    <col min="11" max="11" width="17.77734375" bestFit="1" customWidth="1"/>
    <col min="12" max="12" width="16.109375" bestFit="1" customWidth="1"/>
  </cols>
  <sheetData>
    <row r="1" spans="1:11">
      <c r="A1" s="13" t="s">
        <v>108</v>
      </c>
      <c r="B1" s="310" t="str">
        <f>Info!C2</f>
        <v>კრედო</v>
      </c>
      <c r="C1" s="12"/>
      <c r="D1" s="1"/>
      <c r="E1" s="1"/>
      <c r="F1" s="1"/>
      <c r="G1" s="1"/>
    </row>
    <row r="2" spans="1:11">
      <c r="A2" s="13" t="s">
        <v>109</v>
      </c>
      <c r="B2" s="346">
        <f>'1. key ratios'!B2</f>
        <v>45199</v>
      </c>
      <c r="C2" s="12"/>
      <c r="D2" s="1"/>
      <c r="E2" s="1"/>
      <c r="F2" s="1"/>
      <c r="G2" s="1"/>
    </row>
    <row r="3" spans="1:11">
      <c r="A3" s="13"/>
      <c r="B3" s="12"/>
      <c r="C3" s="12"/>
      <c r="D3" s="1"/>
      <c r="E3" s="1"/>
      <c r="F3" s="1"/>
      <c r="G3" s="1"/>
    </row>
    <row r="4" spans="1:11" ht="21" customHeight="1">
      <c r="A4" s="818" t="s">
        <v>25</v>
      </c>
      <c r="B4" s="819" t="s">
        <v>732</v>
      </c>
      <c r="C4" s="821" t="s">
        <v>114</v>
      </c>
      <c r="D4" s="821"/>
      <c r="E4" s="821"/>
      <c r="F4" s="821" t="s">
        <v>115</v>
      </c>
      <c r="G4" s="821"/>
      <c r="H4" s="822"/>
    </row>
    <row r="5" spans="1:11" ht="21" customHeight="1">
      <c r="A5" s="818"/>
      <c r="B5" s="820"/>
      <c r="C5" s="411" t="s">
        <v>26</v>
      </c>
      <c r="D5" s="411" t="s">
        <v>88</v>
      </c>
      <c r="E5" s="411" t="s">
        <v>66</v>
      </c>
      <c r="F5" s="411" t="s">
        <v>26</v>
      </c>
      <c r="G5" s="411" t="s">
        <v>88</v>
      </c>
      <c r="H5" s="411" t="s">
        <v>66</v>
      </c>
    </row>
    <row r="6" spans="1:11" ht="26.55" customHeight="1">
      <c r="A6" s="818"/>
      <c r="B6" s="412" t="s">
        <v>95</v>
      </c>
      <c r="C6" s="823"/>
      <c r="D6" s="824"/>
      <c r="E6" s="824"/>
      <c r="F6" s="824"/>
      <c r="G6" s="824"/>
      <c r="H6" s="825"/>
    </row>
    <row r="7" spans="1:11" ht="22.95" customHeight="1">
      <c r="A7" s="452">
        <v>1</v>
      </c>
      <c r="B7" s="413" t="s">
        <v>846</v>
      </c>
      <c r="C7" s="768">
        <f>SUM(C8:C10)</f>
        <v>135626669.13999999</v>
      </c>
      <c r="D7" s="768">
        <f>SUM(D8:D10)</f>
        <v>180578895.10999998</v>
      </c>
      <c r="E7" s="704">
        <f>C7+D7</f>
        <v>316205564.25</v>
      </c>
      <c r="F7" s="768">
        <f>SUM(F8:F10)</f>
        <v>148180648.33000001</v>
      </c>
      <c r="G7" s="768">
        <f>SUM(G8:G10)</f>
        <v>103134089.25</v>
      </c>
      <c r="H7" s="704">
        <f>F7+G7</f>
        <v>251314737.58000001</v>
      </c>
    </row>
    <row r="8" spans="1:11">
      <c r="A8" s="452">
        <v>1.1000000000000001</v>
      </c>
      <c r="B8" s="414" t="s">
        <v>96</v>
      </c>
      <c r="C8" s="703">
        <v>50702564.299999997</v>
      </c>
      <c r="D8" s="703">
        <v>30831276.18</v>
      </c>
      <c r="E8" s="704">
        <f t="shared" ref="E8:E36" si="0">C8+D8</f>
        <v>81533840.479999989</v>
      </c>
      <c r="F8" s="703">
        <v>47299965.079999998</v>
      </c>
      <c r="G8" s="703">
        <v>18664160.799999997</v>
      </c>
      <c r="H8" s="704">
        <f t="shared" ref="H8:H36" si="1">F8+G8</f>
        <v>65964125.879999995</v>
      </c>
      <c r="K8" s="709"/>
    </row>
    <row r="9" spans="1:11">
      <c r="A9" s="452">
        <v>1.2</v>
      </c>
      <c r="B9" s="414" t="s">
        <v>97</v>
      </c>
      <c r="C9" s="703">
        <v>82279199.549999997</v>
      </c>
      <c r="D9" s="703">
        <v>44022955.329999998</v>
      </c>
      <c r="E9" s="704">
        <f t="shared" si="0"/>
        <v>126302154.88</v>
      </c>
      <c r="F9" s="703">
        <v>99096863.730000004</v>
      </c>
      <c r="G9" s="703">
        <v>25736473.450000003</v>
      </c>
      <c r="H9" s="704">
        <f t="shared" si="1"/>
        <v>124833337.18000001</v>
      </c>
      <c r="K9" s="709"/>
    </row>
    <row r="10" spans="1:11">
      <c r="A10" s="452">
        <v>1.3</v>
      </c>
      <c r="B10" s="414" t="s">
        <v>98</v>
      </c>
      <c r="C10" s="703">
        <v>2644905.29</v>
      </c>
      <c r="D10" s="703">
        <v>105724663.59999999</v>
      </c>
      <c r="E10" s="704">
        <f t="shared" si="0"/>
        <v>108369568.89</v>
      </c>
      <c r="F10" s="703">
        <v>1783819.52</v>
      </c>
      <c r="G10" s="703">
        <v>58733455.000000007</v>
      </c>
      <c r="H10" s="704">
        <f t="shared" si="1"/>
        <v>60517274.520000011</v>
      </c>
      <c r="K10" s="709"/>
    </row>
    <row r="11" spans="1:11">
      <c r="A11" s="452">
        <v>2</v>
      </c>
      <c r="B11" s="415" t="s">
        <v>733</v>
      </c>
      <c r="C11" s="703"/>
      <c r="D11" s="703"/>
      <c r="E11" s="704">
        <f t="shared" si="0"/>
        <v>0</v>
      </c>
      <c r="F11" s="703"/>
      <c r="G11" s="703"/>
      <c r="H11" s="704">
        <f t="shared" si="1"/>
        <v>0</v>
      </c>
    </row>
    <row r="12" spans="1:11">
      <c r="A12" s="452">
        <v>2.1</v>
      </c>
      <c r="B12" s="416" t="s">
        <v>734</v>
      </c>
      <c r="C12" s="703"/>
      <c r="D12" s="703"/>
      <c r="E12" s="704">
        <f t="shared" si="0"/>
        <v>0</v>
      </c>
      <c r="F12" s="703"/>
      <c r="G12" s="703"/>
      <c r="H12" s="704">
        <f t="shared" si="1"/>
        <v>0</v>
      </c>
    </row>
    <row r="13" spans="1:11" ht="26.55" customHeight="1">
      <c r="A13" s="452">
        <v>3</v>
      </c>
      <c r="B13" s="417" t="s">
        <v>735</v>
      </c>
      <c r="C13" s="703">
        <v>757847.93</v>
      </c>
      <c r="D13" s="703"/>
      <c r="E13" s="704">
        <f t="shared" si="0"/>
        <v>757847.93</v>
      </c>
      <c r="F13" s="703">
        <v>84300</v>
      </c>
      <c r="G13" s="703"/>
      <c r="H13" s="704">
        <f t="shared" si="1"/>
        <v>84300</v>
      </c>
    </row>
    <row r="14" spans="1:11" ht="26.55" customHeight="1">
      <c r="A14" s="452">
        <v>4</v>
      </c>
      <c r="B14" s="418" t="s">
        <v>736</v>
      </c>
      <c r="C14" s="703"/>
      <c r="D14" s="703"/>
      <c r="E14" s="704">
        <f t="shared" si="0"/>
        <v>0</v>
      </c>
      <c r="F14" s="703"/>
      <c r="G14" s="703"/>
      <c r="H14" s="704">
        <f t="shared" si="1"/>
        <v>0</v>
      </c>
    </row>
    <row r="15" spans="1:11" ht="24.45" customHeight="1">
      <c r="A15" s="452">
        <v>5</v>
      </c>
      <c r="B15" s="418" t="s">
        <v>737</v>
      </c>
      <c r="C15" s="705">
        <f>SUM(C16:C18)</f>
        <v>0</v>
      </c>
      <c r="D15" s="705">
        <f>SUM(D16:D18)</f>
        <v>0</v>
      </c>
      <c r="E15" s="706">
        <f t="shared" si="0"/>
        <v>0</v>
      </c>
      <c r="F15" s="705">
        <f>SUM(F16:F18)</f>
        <v>0</v>
      </c>
      <c r="G15" s="705">
        <f>SUM(G16:G18)</f>
        <v>0</v>
      </c>
      <c r="H15" s="706">
        <f t="shared" si="1"/>
        <v>0</v>
      </c>
    </row>
    <row r="16" spans="1:11">
      <c r="A16" s="452">
        <v>5.0999999999999996</v>
      </c>
      <c r="B16" s="419" t="s">
        <v>738</v>
      </c>
      <c r="C16" s="703"/>
      <c r="D16" s="703"/>
      <c r="E16" s="704">
        <f t="shared" si="0"/>
        <v>0</v>
      </c>
      <c r="F16" s="703"/>
      <c r="G16" s="703"/>
      <c r="H16" s="704">
        <f t="shared" si="1"/>
        <v>0</v>
      </c>
    </row>
    <row r="17" spans="1:12">
      <c r="A17" s="452">
        <v>5.2</v>
      </c>
      <c r="B17" s="419" t="s">
        <v>569</v>
      </c>
      <c r="C17" s="703"/>
      <c r="D17" s="703"/>
      <c r="E17" s="704">
        <f t="shared" si="0"/>
        <v>0</v>
      </c>
      <c r="F17" s="703"/>
      <c r="G17" s="703"/>
      <c r="H17" s="704">
        <f t="shared" si="1"/>
        <v>0</v>
      </c>
    </row>
    <row r="18" spans="1:12">
      <c r="A18" s="452">
        <v>5.3</v>
      </c>
      <c r="B18" s="419" t="s">
        <v>739</v>
      </c>
      <c r="C18" s="703"/>
      <c r="D18" s="703"/>
      <c r="E18" s="704">
        <f t="shared" si="0"/>
        <v>0</v>
      </c>
      <c r="F18" s="703"/>
      <c r="G18" s="703"/>
      <c r="H18" s="704">
        <f t="shared" si="1"/>
        <v>0</v>
      </c>
    </row>
    <row r="19" spans="1:12">
      <c r="A19" s="452">
        <v>6</v>
      </c>
      <c r="B19" s="417" t="s">
        <v>740</v>
      </c>
      <c r="C19" s="768">
        <f>SUM(C20:C21)</f>
        <v>1729131795.5278244</v>
      </c>
      <c r="D19" s="768">
        <f>SUM(D20:D21)</f>
        <v>196075685</v>
      </c>
      <c r="E19" s="704">
        <f t="shared" si="0"/>
        <v>1925207480.5278244</v>
      </c>
      <c r="F19" s="768">
        <f>SUM(F20:F21)</f>
        <v>1528268236.249855</v>
      </c>
      <c r="G19" s="768">
        <f>SUM(G20:G21)</f>
        <v>165288006</v>
      </c>
      <c r="H19" s="704">
        <f t="shared" si="1"/>
        <v>1693556242.249855</v>
      </c>
    </row>
    <row r="20" spans="1:12">
      <c r="A20" s="452">
        <v>6.1</v>
      </c>
      <c r="B20" s="419" t="s">
        <v>569</v>
      </c>
      <c r="C20" s="703">
        <v>48483957.209999993</v>
      </c>
      <c r="D20" s="703"/>
      <c r="E20" s="704">
        <f t="shared" si="0"/>
        <v>48483957.209999993</v>
      </c>
      <c r="F20" s="703">
        <v>48469550.079999998</v>
      </c>
      <c r="G20" s="703"/>
      <c r="H20" s="704">
        <f t="shared" si="1"/>
        <v>48469550.079999998</v>
      </c>
    </row>
    <row r="21" spans="1:12">
      <c r="A21" s="452">
        <v>6.2</v>
      </c>
      <c r="B21" s="419" t="s">
        <v>739</v>
      </c>
      <c r="C21" s="703">
        <v>1680647838.3178244</v>
      </c>
      <c r="D21" s="703">
        <v>196075685</v>
      </c>
      <c r="E21" s="704">
        <f t="shared" si="0"/>
        <v>1876723523.3178244</v>
      </c>
      <c r="F21" s="703">
        <v>1479798686.1698551</v>
      </c>
      <c r="G21" s="703">
        <v>165288006</v>
      </c>
      <c r="H21" s="704">
        <f t="shared" si="1"/>
        <v>1645086692.1698551</v>
      </c>
      <c r="K21" s="709"/>
    </row>
    <row r="22" spans="1:12">
      <c r="A22" s="452">
        <v>7</v>
      </c>
      <c r="B22" s="420" t="s">
        <v>741</v>
      </c>
      <c r="C22" s="703"/>
      <c r="D22" s="703"/>
      <c r="E22" s="704">
        <f t="shared" si="0"/>
        <v>0</v>
      </c>
      <c r="F22" s="703"/>
      <c r="G22" s="703"/>
      <c r="H22" s="704">
        <f t="shared" si="1"/>
        <v>0</v>
      </c>
      <c r="L22" s="769"/>
    </row>
    <row r="23" spans="1:12">
      <c r="A23" s="452">
        <v>8</v>
      </c>
      <c r="B23" s="421" t="s">
        <v>742</v>
      </c>
      <c r="C23" s="703"/>
      <c r="D23" s="703"/>
      <c r="E23" s="704">
        <f t="shared" si="0"/>
        <v>0</v>
      </c>
      <c r="F23" s="703"/>
      <c r="G23" s="703"/>
      <c r="H23" s="704">
        <f t="shared" si="1"/>
        <v>0</v>
      </c>
    </row>
    <row r="24" spans="1:12">
      <c r="A24" s="452">
        <v>9</v>
      </c>
      <c r="B24" s="418" t="s">
        <v>743</v>
      </c>
      <c r="C24" s="768">
        <f>SUM(C25:C26)</f>
        <v>40004854.700000018</v>
      </c>
      <c r="D24" s="703">
        <f>SUM(D25:D26)</f>
        <v>0</v>
      </c>
      <c r="E24" s="704">
        <f t="shared" si="0"/>
        <v>40004854.700000018</v>
      </c>
      <c r="F24" s="768">
        <f>SUM(F25:F26)</f>
        <v>26617658.289999999</v>
      </c>
      <c r="G24" s="703">
        <f>SUM(G25:G26)</f>
        <v>0</v>
      </c>
      <c r="H24" s="704">
        <f t="shared" si="1"/>
        <v>26617658.289999999</v>
      </c>
    </row>
    <row r="25" spans="1:12">
      <c r="A25" s="452">
        <v>9.1</v>
      </c>
      <c r="B25" s="422" t="s">
        <v>744</v>
      </c>
      <c r="C25" s="703">
        <v>40004854.700000018</v>
      </c>
      <c r="D25" s="703"/>
      <c r="E25" s="704">
        <f t="shared" si="0"/>
        <v>40004854.700000018</v>
      </c>
      <c r="F25" s="703">
        <v>26617658.289999999</v>
      </c>
      <c r="G25" s="703"/>
      <c r="H25" s="704">
        <f t="shared" si="1"/>
        <v>26617658.289999999</v>
      </c>
    </row>
    <row r="26" spans="1:12">
      <c r="A26" s="452">
        <v>9.1999999999999993</v>
      </c>
      <c r="B26" s="422" t="s">
        <v>745</v>
      </c>
      <c r="C26" s="703"/>
      <c r="D26" s="703"/>
      <c r="E26" s="704">
        <f t="shared" si="0"/>
        <v>0</v>
      </c>
      <c r="F26" s="703"/>
      <c r="G26" s="703"/>
      <c r="H26" s="704">
        <f t="shared" si="1"/>
        <v>0</v>
      </c>
    </row>
    <row r="27" spans="1:12">
      <c r="A27" s="452">
        <v>10</v>
      </c>
      <c r="B27" s="418" t="s">
        <v>36</v>
      </c>
      <c r="C27" s="768">
        <f>SUM(C28:C29)</f>
        <v>18631862.960000001</v>
      </c>
      <c r="D27" s="703">
        <f>SUM(D28:D29)</f>
        <v>0</v>
      </c>
      <c r="E27" s="704">
        <f t="shared" si="0"/>
        <v>18631862.960000001</v>
      </c>
      <c r="F27" s="768">
        <f>SUM(F28:F29)</f>
        <v>16990392.250000007</v>
      </c>
      <c r="G27" s="703">
        <f>SUM(G28:G29)</f>
        <v>0</v>
      </c>
      <c r="H27" s="704">
        <f t="shared" si="1"/>
        <v>16990392.250000007</v>
      </c>
    </row>
    <row r="28" spans="1:12">
      <c r="A28" s="452">
        <v>10.1</v>
      </c>
      <c r="B28" s="422" t="s">
        <v>746</v>
      </c>
      <c r="C28" s="703"/>
      <c r="D28" s="703"/>
      <c r="E28" s="704">
        <f t="shared" si="0"/>
        <v>0</v>
      </c>
      <c r="F28" s="703"/>
      <c r="G28" s="703"/>
      <c r="H28" s="704">
        <f t="shared" si="1"/>
        <v>0</v>
      </c>
    </row>
    <row r="29" spans="1:12">
      <c r="A29" s="452">
        <v>10.199999999999999</v>
      </c>
      <c r="B29" s="422" t="s">
        <v>747</v>
      </c>
      <c r="C29" s="703">
        <v>18631862.960000001</v>
      </c>
      <c r="D29" s="703"/>
      <c r="E29" s="704">
        <f t="shared" si="0"/>
        <v>18631862.960000001</v>
      </c>
      <c r="F29" s="703">
        <v>16990392.250000007</v>
      </c>
      <c r="G29" s="703"/>
      <c r="H29" s="704">
        <f t="shared" si="1"/>
        <v>16990392.250000007</v>
      </c>
    </row>
    <row r="30" spans="1:12">
      <c r="A30" s="452">
        <v>11</v>
      </c>
      <c r="B30" s="418" t="s">
        <v>748</v>
      </c>
      <c r="C30" s="768">
        <f>SUM(C31:C32)</f>
        <v>1747044.9600000028</v>
      </c>
      <c r="D30" s="703">
        <f>SUM(D31:D32)</f>
        <v>0</v>
      </c>
      <c r="E30" s="704">
        <f t="shared" si="0"/>
        <v>1747044.9600000028</v>
      </c>
      <c r="F30" s="768">
        <f>SUM(F31:F32)</f>
        <v>8144320.4700000007</v>
      </c>
      <c r="G30" s="703">
        <f>SUM(G31:G32)</f>
        <v>0</v>
      </c>
      <c r="H30" s="704">
        <f t="shared" si="1"/>
        <v>8144320.4700000007</v>
      </c>
    </row>
    <row r="31" spans="1:12">
      <c r="A31" s="452">
        <v>11.1</v>
      </c>
      <c r="B31" s="422" t="s">
        <v>749</v>
      </c>
      <c r="C31" s="703">
        <v>1747044.9600000028</v>
      </c>
      <c r="D31" s="703"/>
      <c r="E31" s="704">
        <f t="shared" si="0"/>
        <v>1747044.9600000028</v>
      </c>
      <c r="F31" s="796">
        <v>8144320.4700000007</v>
      </c>
      <c r="G31" s="703"/>
      <c r="H31" s="704">
        <f t="shared" si="1"/>
        <v>8144320.4700000007</v>
      </c>
    </row>
    <row r="32" spans="1:12">
      <c r="A32" s="452">
        <v>11.2</v>
      </c>
      <c r="B32" s="422" t="s">
        <v>750</v>
      </c>
      <c r="C32" s="703"/>
      <c r="D32" s="703"/>
      <c r="E32" s="704">
        <f t="shared" si="0"/>
        <v>0</v>
      </c>
      <c r="F32" s="703"/>
      <c r="G32" s="703"/>
      <c r="H32" s="704">
        <f t="shared" si="1"/>
        <v>0</v>
      </c>
    </row>
    <row r="33" spans="1:11">
      <c r="A33" s="452">
        <v>13</v>
      </c>
      <c r="B33" s="418" t="s">
        <v>99</v>
      </c>
      <c r="C33" s="768">
        <v>33547769</v>
      </c>
      <c r="D33" s="768">
        <v>2962718</v>
      </c>
      <c r="E33" s="704">
        <f t="shared" si="0"/>
        <v>36510487</v>
      </c>
      <c r="F33" s="768">
        <v>26726960.019999996</v>
      </c>
      <c r="G33" s="768">
        <v>7628900.8699999982</v>
      </c>
      <c r="H33" s="704">
        <f t="shared" si="1"/>
        <v>34355860.889999993</v>
      </c>
    </row>
    <row r="34" spans="1:11">
      <c r="A34" s="452">
        <v>13.1</v>
      </c>
      <c r="B34" s="423" t="s">
        <v>751</v>
      </c>
      <c r="C34" s="703">
        <v>11082036</v>
      </c>
      <c r="D34" s="703"/>
      <c r="E34" s="704">
        <f t="shared" si="0"/>
        <v>11082036</v>
      </c>
      <c r="F34" s="703">
        <v>5099483</v>
      </c>
      <c r="G34" s="703"/>
      <c r="H34" s="704">
        <f t="shared" si="1"/>
        <v>5099483</v>
      </c>
    </row>
    <row r="35" spans="1:11">
      <c r="A35" s="452">
        <v>13.2</v>
      </c>
      <c r="B35" s="423" t="s">
        <v>752</v>
      </c>
      <c r="C35" s="703"/>
      <c r="D35" s="703"/>
      <c r="E35" s="704">
        <f t="shared" si="0"/>
        <v>0</v>
      </c>
      <c r="F35" s="703"/>
      <c r="G35" s="703"/>
      <c r="H35" s="704">
        <f t="shared" si="1"/>
        <v>0</v>
      </c>
    </row>
    <row r="36" spans="1:11">
      <c r="A36" s="452">
        <v>14</v>
      </c>
      <c r="B36" s="424" t="s">
        <v>753</v>
      </c>
      <c r="C36" s="703">
        <f>SUM(C7,C11,C13,C14,C15,C19,C22,C23,C24,C27,C30,C33)</f>
        <v>1959447844.2178245</v>
      </c>
      <c r="D36" s="703">
        <f>SUM(D7,D11,D13,D14,D15,D19,D22,D23,D24,D27,D30,D33)</f>
        <v>379617298.11000001</v>
      </c>
      <c r="E36" s="704">
        <f t="shared" si="0"/>
        <v>2339065142.3278246</v>
      </c>
      <c r="F36" s="703">
        <f>SUM(F7,F11,F13,F14,F15,F19,F22,F23,F24,F27,F30,F33)</f>
        <v>1755012515.6098549</v>
      </c>
      <c r="G36" s="703">
        <f>SUM(G7,G11,G13,G14,G15,G19,G22,G23,G24,G27,G30,G33)</f>
        <v>276050996.12</v>
      </c>
      <c r="H36" s="704">
        <f t="shared" si="1"/>
        <v>2031063511.7298551</v>
      </c>
      <c r="K36" s="693"/>
    </row>
    <row r="37" spans="1:11" ht="22.5" customHeight="1">
      <c r="A37" s="452"/>
      <c r="B37" s="425" t="s">
        <v>104</v>
      </c>
      <c r="C37" s="812"/>
      <c r="D37" s="813"/>
      <c r="E37" s="813"/>
      <c r="F37" s="813"/>
      <c r="G37" s="813"/>
      <c r="H37" s="814"/>
      <c r="K37" s="710"/>
    </row>
    <row r="38" spans="1:11">
      <c r="A38" s="452">
        <v>15</v>
      </c>
      <c r="B38" s="426" t="s">
        <v>754</v>
      </c>
      <c r="C38" s="707"/>
      <c r="D38" s="707"/>
      <c r="E38" s="708">
        <f>C38+D38</f>
        <v>0</v>
      </c>
      <c r="F38" s="707"/>
      <c r="G38" s="707"/>
      <c r="H38" s="708">
        <f>F38+G38</f>
        <v>0</v>
      </c>
    </row>
    <row r="39" spans="1:11">
      <c r="A39" s="452">
        <v>15.1</v>
      </c>
      <c r="B39" s="427" t="s">
        <v>734</v>
      </c>
      <c r="C39" s="707"/>
      <c r="D39" s="707"/>
      <c r="E39" s="708">
        <f t="shared" ref="E39:E53" si="2">C39+D39</f>
        <v>0</v>
      </c>
      <c r="F39" s="707"/>
      <c r="G39" s="707"/>
      <c r="H39" s="708">
        <f t="shared" ref="H39:H53" si="3">F39+G39</f>
        <v>0</v>
      </c>
    </row>
    <row r="40" spans="1:11" ht="24" customHeight="1">
      <c r="A40" s="452">
        <v>16</v>
      </c>
      <c r="B40" s="420" t="s">
        <v>755</v>
      </c>
      <c r="C40" s="707">
        <v>276111.98</v>
      </c>
      <c r="D40" s="707"/>
      <c r="E40" s="708">
        <f t="shared" si="2"/>
        <v>276111.98</v>
      </c>
      <c r="F40" s="707">
        <v>2172117</v>
      </c>
      <c r="G40" s="707"/>
      <c r="H40" s="708">
        <f t="shared" si="3"/>
        <v>2172117</v>
      </c>
    </row>
    <row r="41" spans="1:11">
      <c r="A41" s="452">
        <v>17</v>
      </c>
      <c r="B41" s="420" t="s">
        <v>756</v>
      </c>
      <c r="C41" s="770">
        <f>SUM(C42:C45)</f>
        <v>1380210216.1099999</v>
      </c>
      <c r="D41" s="770">
        <f>SUM(D42:D45)</f>
        <v>519978626.59302485</v>
      </c>
      <c r="E41" s="708">
        <f t="shared" si="2"/>
        <v>1900188842.7030249</v>
      </c>
      <c r="F41" s="770">
        <f>SUM(F42:F45)</f>
        <v>1251606560.1099999</v>
      </c>
      <c r="G41" s="770">
        <f>SUM(G42:G45)</f>
        <v>400508928.45000011</v>
      </c>
      <c r="H41" s="708">
        <f t="shared" si="3"/>
        <v>1652115488.5599999</v>
      </c>
    </row>
    <row r="42" spans="1:11">
      <c r="A42" s="452">
        <v>17.100000000000001</v>
      </c>
      <c r="B42" s="428" t="s">
        <v>757</v>
      </c>
      <c r="C42" s="707">
        <v>562405092</v>
      </c>
      <c r="D42" s="707">
        <v>231011156</v>
      </c>
      <c r="E42" s="708">
        <f t="shared" si="2"/>
        <v>793416248</v>
      </c>
      <c r="F42" s="707">
        <v>407285315.65000004</v>
      </c>
      <c r="G42" s="707">
        <v>159196557.98000005</v>
      </c>
      <c r="H42" s="708">
        <f t="shared" si="3"/>
        <v>566481873.63000011</v>
      </c>
    </row>
    <row r="43" spans="1:11">
      <c r="A43" s="452">
        <v>17.2</v>
      </c>
      <c r="B43" s="429" t="s">
        <v>100</v>
      </c>
      <c r="C43" s="707">
        <v>806970771</v>
      </c>
      <c r="D43" s="707">
        <v>282979935.20302486</v>
      </c>
      <c r="E43" s="708">
        <f t="shared" si="2"/>
        <v>1089950706.2030249</v>
      </c>
      <c r="F43" s="707">
        <v>835934744.38999999</v>
      </c>
      <c r="G43" s="707">
        <v>238512027.17000002</v>
      </c>
      <c r="H43" s="708">
        <f t="shared" si="3"/>
        <v>1074446771.5599999</v>
      </c>
    </row>
    <row r="44" spans="1:11">
      <c r="A44" s="452">
        <v>17.3</v>
      </c>
      <c r="B44" s="428" t="s">
        <v>758</v>
      </c>
      <c r="C44" s="707"/>
      <c r="D44" s="707"/>
      <c r="E44" s="708">
        <f t="shared" si="2"/>
        <v>0</v>
      </c>
      <c r="F44" s="707"/>
      <c r="G44" s="707"/>
      <c r="H44" s="708">
        <f t="shared" si="3"/>
        <v>0</v>
      </c>
    </row>
    <row r="45" spans="1:11">
      <c r="A45" s="452">
        <v>17.399999999999999</v>
      </c>
      <c r="B45" s="428" t="s">
        <v>759</v>
      </c>
      <c r="C45" s="726">
        <v>10834353.109999999</v>
      </c>
      <c r="D45" s="726">
        <v>5987535.3899999997</v>
      </c>
      <c r="E45" s="708">
        <f t="shared" si="2"/>
        <v>16821888.5</v>
      </c>
      <c r="F45" s="707">
        <v>8386500.0700000003</v>
      </c>
      <c r="G45" s="707">
        <v>2800343.3</v>
      </c>
      <c r="H45" s="708">
        <f t="shared" si="3"/>
        <v>11186843.370000001</v>
      </c>
    </row>
    <row r="46" spans="1:11">
      <c r="A46" s="452">
        <v>18</v>
      </c>
      <c r="B46" s="418" t="s">
        <v>760</v>
      </c>
      <c r="C46" s="707"/>
      <c r="D46" s="707"/>
      <c r="E46" s="708">
        <f t="shared" si="2"/>
        <v>0</v>
      </c>
      <c r="F46" s="707"/>
      <c r="G46" s="707"/>
      <c r="H46" s="708">
        <f t="shared" si="3"/>
        <v>0</v>
      </c>
    </row>
    <row r="47" spans="1:11">
      <c r="A47" s="452">
        <v>19</v>
      </c>
      <c r="B47" s="418" t="s">
        <v>761</v>
      </c>
      <c r="C47" s="770">
        <f>SUM(C48:C49)</f>
        <v>2365519.34</v>
      </c>
      <c r="D47" s="707">
        <f>SUM(D48:D49)</f>
        <v>0</v>
      </c>
      <c r="E47" s="708">
        <f t="shared" si="2"/>
        <v>2365519.34</v>
      </c>
      <c r="F47" s="770">
        <f>SUM(F48:F49)</f>
        <v>8596134.8599999994</v>
      </c>
      <c r="G47" s="707">
        <f>SUM(G48:G49)</f>
        <v>0</v>
      </c>
      <c r="H47" s="708">
        <f t="shared" si="3"/>
        <v>8596134.8599999994</v>
      </c>
    </row>
    <row r="48" spans="1:11">
      <c r="A48" s="452">
        <v>19.100000000000001</v>
      </c>
      <c r="B48" s="430" t="s">
        <v>762</v>
      </c>
      <c r="C48" s="707"/>
      <c r="D48" s="707"/>
      <c r="E48" s="708">
        <f t="shared" si="2"/>
        <v>0</v>
      </c>
      <c r="F48" s="707">
        <v>7201751.6999999993</v>
      </c>
      <c r="G48" s="707"/>
      <c r="H48" s="708">
        <f t="shared" si="3"/>
        <v>7201751.6999999993</v>
      </c>
    </row>
    <row r="49" spans="1:8">
      <c r="A49" s="452">
        <v>19.2</v>
      </c>
      <c r="B49" s="431" t="s">
        <v>763</v>
      </c>
      <c r="C49" s="707">
        <v>2365519.34</v>
      </c>
      <c r="D49" s="707"/>
      <c r="E49" s="708">
        <f t="shared" si="2"/>
        <v>2365519.34</v>
      </c>
      <c r="F49" s="707">
        <v>1394383.1600000001</v>
      </c>
      <c r="G49" s="707"/>
      <c r="H49" s="708">
        <f t="shared" si="3"/>
        <v>1394383.1600000001</v>
      </c>
    </row>
    <row r="50" spans="1:8">
      <c r="A50" s="452">
        <v>20</v>
      </c>
      <c r="B50" s="432" t="s">
        <v>101</v>
      </c>
      <c r="C50" s="770">
        <v>62672849</v>
      </c>
      <c r="D50" s="770">
        <v>42932941.559730008</v>
      </c>
      <c r="E50" s="708">
        <f t="shared" si="2"/>
        <v>105605790.55973001</v>
      </c>
      <c r="F50" s="770">
        <v>62619912.82</v>
      </c>
      <c r="G50" s="770">
        <v>21452668.890000001</v>
      </c>
      <c r="H50" s="708">
        <f t="shared" si="3"/>
        <v>84072581.710000008</v>
      </c>
    </row>
    <row r="51" spans="1:8">
      <c r="A51" s="452">
        <v>21</v>
      </c>
      <c r="B51" s="433" t="s">
        <v>89</v>
      </c>
      <c r="C51" s="707">
        <v>35821666</v>
      </c>
      <c r="D51" s="707">
        <v>2594167.6499999985</v>
      </c>
      <c r="E51" s="708">
        <f t="shared" si="2"/>
        <v>38415833.649999999</v>
      </c>
      <c r="F51" s="707">
        <v>30987091.460000012</v>
      </c>
      <c r="G51" s="707">
        <v>1535859.84</v>
      </c>
      <c r="H51" s="708">
        <f t="shared" si="3"/>
        <v>32522951.300000012</v>
      </c>
    </row>
    <row r="52" spans="1:8">
      <c r="A52" s="452">
        <v>21.1</v>
      </c>
      <c r="B52" s="429" t="s">
        <v>764</v>
      </c>
      <c r="C52" s="707"/>
      <c r="D52" s="707"/>
      <c r="E52" s="708">
        <f t="shared" si="2"/>
        <v>0</v>
      </c>
      <c r="F52" s="707"/>
      <c r="G52" s="707"/>
      <c r="H52" s="708">
        <f t="shared" si="3"/>
        <v>0</v>
      </c>
    </row>
    <row r="53" spans="1:8">
      <c r="A53" s="452">
        <v>22</v>
      </c>
      <c r="B53" s="432" t="s">
        <v>765</v>
      </c>
      <c r="C53" s="707">
        <f>SUM(C38,C40,C41,C46,C47,C50,C51)</f>
        <v>1481346362.4299998</v>
      </c>
      <c r="D53" s="707">
        <f>SUM(D38,D40,D41,D46,D47,D50,D51)</f>
        <v>565505735.80275488</v>
      </c>
      <c r="E53" s="708">
        <f t="shared" si="2"/>
        <v>2046852098.2327547</v>
      </c>
      <c r="F53" s="707">
        <f>SUM(F38,F40,F41,F46,F47,F50,F51)</f>
        <v>1355981816.2499998</v>
      </c>
      <c r="G53" s="707">
        <f>SUM(G38,G40,G41,G46,G47,G50,G51)</f>
        <v>423497457.18000007</v>
      </c>
      <c r="H53" s="708">
        <f t="shared" si="3"/>
        <v>1779479273.4299998</v>
      </c>
    </row>
    <row r="54" spans="1:8" ht="24" customHeight="1">
      <c r="A54" s="452"/>
      <c r="B54" s="434" t="s">
        <v>766</v>
      </c>
      <c r="C54" s="815"/>
      <c r="D54" s="816"/>
      <c r="E54" s="816"/>
      <c r="F54" s="816"/>
      <c r="G54" s="816"/>
      <c r="H54" s="817"/>
    </row>
    <row r="55" spans="1:8">
      <c r="A55" s="452">
        <v>23</v>
      </c>
      <c r="B55" s="432" t="s">
        <v>105</v>
      </c>
      <c r="C55" s="707">
        <v>5207180</v>
      </c>
      <c r="D55" s="707"/>
      <c r="E55" s="708">
        <f>C55+D55</f>
        <v>5207180</v>
      </c>
      <c r="F55" s="707">
        <v>5176780</v>
      </c>
      <c r="G55" s="707"/>
      <c r="H55" s="708">
        <f>F55+G55</f>
        <v>5176780</v>
      </c>
    </row>
    <row r="56" spans="1:8">
      <c r="A56" s="452">
        <v>24</v>
      </c>
      <c r="B56" s="432" t="s">
        <v>767</v>
      </c>
      <c r="C56" s="707"/>
      <c r="D56" s="707"/>
      <c r="E56" s="708">
        <f t="shared" ref="E56:E69" si="4">C56+D56</f>
        <v>0</v>
      </c>
      <c r="F56" s="707"/>
      <c r="G56" s="707"/>
      <c r="H56" s="708">
        <f t="shared" ref="H56:H69" si="5">F56+G56</f>
        <v>0</v>
      </c>
    </row>
    <row r="57" spans="1:8">
      <c r="A57" s="452">
        <v>25</v>
      </c>
      <c r="B57" s="432" t="s">
        <v>102</v>
      </c>
      <c r="C57" s="707">
        <v>36929894.049999997</v>
      </c>
      <c r="D57" s="707"/>
      <c r="E57" s="708">
        <f t="shared" si="4"/>
        <v>36929894.049999997</v>
      </c>
      <c r="F57" s="707">
        <v>35305300.5</v>
      </c>
      <c r="G57" s="707"/>
      <c r="H57" s="708">
        <f t="shared" si="5"/>
        <v>35305300.5</v>
      </c>
    </row>
    <row r="58" spans="1:8">
      <c r="A58" s="452">
        <v>26</v>
      </c>
      <c r="B58" s="418" t="s">
        <v>768</v>
      </c>
      <c r="C58" s="707"/>
      <c r="D58" s="707"/>
      <c r="E58" s="708">
        <f t="shared" si="4"/>
        <v>0</v>
      </c>
      <c r="F58" s="707"/>
      <c r="G58" s="707"/>
      <c r="H58" s="708">
        <f t="shared" si="5"/>
        <v>0</v>
      </c>
    </row>
    <row r="59" spans="1:8">
      <c r="A59" s="452">
        <v>27</v>
      </c>
      <c r="B59" s="418" t="s">
        <v>769</v>
      </c>
      <c r="C59" s="707">
        <f>SUM(C60:C61)</f>
        <v>0</v>
      </c>
      <c r="D59" s="707">
        <f>SUM(D60:D61)</f>
        <v>0</v>
      </c>
      <c r="E59" s="708">
        <f t="shared" si="4"/>
        <v>0</v>
      </c>
      <c r="F59" s="707"/>
      <c r="G59" s="707"/>
      <c r="H59" s="708">
        <f t="shared" si="5"/>
        <v>0</v>
      </c>
    </row>
    <row r="60" spans="1:8">
      <c r="A60" s="452">
        <v>27.1</v>
      </c>
      <c r="B60" s="430" t="s">
        <v>770</v>
      </c>
      <c r="C60" s="707"/>
      <c r="D60" s="707"/>
      <c r="E60" s="708">
        <f t="shared" si="4"/>
        <v>0</v>
      </c>
      <c r="F60" s="707"/>
      <c r="G60" s="707"/>
      <c r="H60" s="708">
        <f t="shared" si="5"/>
        <v>0</v>
      </c>
    </row>
    <row r="61" spans="1:8">
      <c r="A61" s="452">
        <v>27.2</v>
      </c>
      <c r="B61" s="428" t="s">
        <v>771</v>
      </c>
      <c r="C61" s="707"/>
      <c r="D61" s="707"/>
      <c r="E61" s="708">
        <f t="shared" si="4"/>
        <v>0</v>
      </c>
      <c r="F61" s="707"/>
      <c r="G61" s="707"/>
      <c r="H61" s="708">
        <f t="shared" si="5"/>
        <v>0</v>
      </c>
    </row>
    <row r="62" spans="1:8">
      <c r="A62" s="452">
        <v>28</v>
      </c>
      <c r="B62" s="433" t="s">
        <v>772</v>
      </c>
      <c r="C62" s="707"/>
      <c r="D62" s="707"/>
      <c r="E62" s="708">
        <f t="shared" si="4"/>
        <v>0</v>
      </c>
      <c r="F62" s="707"/>
      <c r="G62" s="707"/>
      <c r="H62" s="708">
        <f t="shared" si="5"/>
        <v>0</v>
      </c>
    </row>
    <row r="63" spans="1:8">
      <c r="A63" s="452">
        <v>29</v>
      </c>
      <c r="B63" s="418" t="s">
        <v>773</v>
      </c>
      <c r="C63" s="707">
        <f>SUM(C64:C66)</f>
        <v>0</v>
      </c>
      <c r="D63" s="707">
        <f>SUM(D64:D66)</f>
        <v>0</v>
      </c>
      <c r="E63" s="708">
        <f t="shared" si="4"/>
        <v>0</v>
      </c>
      <c r="F63" s="707"/>
      <c r="G63" s="707"/>
      <c r="H63" s="708">
        <f t="shared" si="5"/>
        <v>0</v>
      </c>
    </row>
    <row r="64" spans="1:8">
      <c r="A64" s="452">
        <v>29.1</v>
      </c>
      <c r="B64" s="419" t="s">
        <v>774</v>
      </c>
      <c r="C64" s="707"/>
      <c r="D64" s="707"/>
      <c r="E64" s="708">
        <f t="shared" si="4"/>
        <v>0</v>
      </c>
      <c r="F64" s="707"/>
      <c r="G64" s="707"/>
      <c r="H64" s="708">
        <f t="shared" si="5"/>
        <v>0</v>
      </c>
    </row>
    <row r="65" spans="1:8" ht="25.05" customHeight="1">
      <c r="A65" s="452">
        <v>29.2</v>
      </c>
      <c r="B65" s="430" t="s">
        <v>775</v>
      </c>
      <c r="C65" s="707"/>
      <c r="D65" s="707"/>
      <c r="E65" s="708">
        <f t="shared" si="4"/>
        <v>0</v>
      </c>
      <c r="F65" s="707"/>
      <c r="G65" s="707"/>
      <c r="H65" s="708">
        <f t="shared" si="5"/>
        <v>0</v>
      </c>
    </row>
    <row r="66" spans="1:8" ht="22.5" customHeight="1">
      <c r="A66" s="452">
        <v>29.3</v>
      </c>
      <c r="B66" s="422" t="s">
        <v>776</v>
      </c>
      <c r="C66" s="707"/>
      <c r="D66" s="707"/>
      <c r="E66" s="708">
        <f t="shared" si="4"/>
        <v>0</v>
      </c>
      <c r="F66" s="707"/>
      <c r="G66" s="707"/>
      <c r="H66" s="708">
        <f t="shared" si="5"/>
        <v>0</v>
      </c>
    </row>
    <row r="67" spans="1:8">
      <c r="A67" s="452">
        <v>30</v>
      </c>
      <c r="B67" s="418" t="s">
        <v>103</v>
      </c>
      <c r="C67" s="707">
        <v>250075970.07999575</v>
      </c>
      <c r="D67" s="707"/>
      <c r="E67" s="708">
        <f t="shared" si="4"/>
        <v>250075970.07999575</v>
      </c>
      <c r="F67" s="707">
        <v>211102158.45000005</v>
      </c>
      <c r="G67" s="707"/>
      <c r="H67" s="708">
        <f t="shared" si="5"/>
        <v>211102158.45000005</v>
      </c>
    </row>
    <row r="68" spans="1:8">
      <c r="A68" s="452">
        <v>31</v>
      </c>
      <c r="B68" s="435" t="s">
        <v>777</v>
      </c>
      <c r="C68" s="707">
        <f>SUM(C55,C56,C57,C58,C59,C62,C63,C67)</f>
        <v>292213044.12999576</v>
      </c>
      <c r="D68" s="707">
        <f>SUM(D55,D56,D57,D58,D59,D62,D63,D67)</f>
        <v>0</v>
      </c>
      <c r="E68" s="708">
        <f t="shared" si="4"/>
        <v>292213044.12999576</v>
      </c>
      <c r="F68" s="707">
        <f>SUM(F55,F56,F57,F58,F59,F62,F63,F67)</f>
        <v>251584238.95000005</v>
      </c>
      <c r="G68" s="707">
        <f>SUM(G55,G56,G57,G58,G59,G62,G63,G67)</f>
        <v>0</v>
      </c>
      <c r="H68" s="708">
        <f t="shared" si="5"/>
        <v>251584238.95000005</v>
      </c>
    </row>
    <row r="69" spans="1:8">
      <c r="A69" s="452">
        <v>32</v>
      </c>
      <c r="B69" s="436" t="s">
        <v>778</v>
      </c>
      <c r="C69" s="707">
        <f>SUM(C53,C68)</f>
        <v>1773559406.5599957</v>
      </c>
      <c r="D69" s="707">
        <f>SUM(D53,D68)</f>
        <v>565505735.80275488</v>
      </c>
      <c r="E69" s="708">
        <f t="shared" si="4"/>
        <v>2339065142.3627505</v>
      </c>
      <c r="F69" s="707">
        <f>SUM(F53,F68)</f>
        <v>1607566055.1999998</v>
      </c>
      <c r="G69" s="707">
        <f>SUM(G53,G68)</f>
        <v>423497457.18000007</v>
      </c>
      <c r="H69" s="708">
        <f t="shared" si="5"/>
        <v>2031063512.3799999</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ignoredErrors>
    <ignoredError sqref="E15 E19"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35"/>
  <sheetViews>
    <sheetView topLeftCell="A212" zoomScale="90" zoomScaleNormal="90" workbookViewId="0">
      <selection activeCell="B202" sqref="B202:C202"/>
    </sheetView>
  </sheetViews>
  <sheetFormatPr defaultColWidth="43.5546875" defaultRowHeight="12"/>
  <cols>
    <col min="1" max="1" width="8" style="156" customWidth="1"/>
    <col min="2" max="2" width="66.21875" style="157" customWidth="1"/>
    <col min="3" max="3" width="131.44140625" style="158" customWidth="1"/>
    <col min="4" max="5" width="10.21875" style="149" customWidth="1"/>
    <col min="6" max="16384" width="43.5546875" style="149"/>
  </cols>
  <sheetData>
    <row r="1" spans="1:3" ht="13.2" thickTop="1" thickBot="1">
      <c r="A1" s="927" t="s">
        <v>187</v>
      </c>
      <c r="B1" s="928"/>
      <c r="C1" s="929"/>
    </row>
    <row r="2" spans="1:3" ht="26.25" customHeight="1">
      <c r="A2" s="400"/>
      <c r="B2" s="930" t="s">
        <v>188</v>
      </c>
      <c r="C2" s="930"/>
    </row>
    <row r="3" spans="1:3" s="154" customFormat="1" ht="11.25" customHeight="1">
      <c r="A3" s="153"/>
      <c r="B3" s="930" t="s">
        <v>263</v>
      </c>
      <c r="C3" s="930"/>
    </row>
    <row r="4" spans="1:3" ht="12" customHeight="1" thickBot="1">
      <c r="A4" s="931" t="s">
        <v>267</v>
      </c>
      <c r="B4" s="932"/>
      <c r="C4" s="933"/>
    </row>
    <row r="5" spans="1:3" ht="12.6" thickTop="1">
      <c r="A5" s="150"/>
      <c r="B5" s="934" t="s">
        <v>189</v>
      </c>
      <c r="C5" s="935"/>
    </row>
    <row r="6" spans="1:3">
      <c r="A6" s="400"/>
      <c r="B6" s="936" t="s">
        <v>264</v>
      </c>
      <c r="C6" s="937"/>
    </row>
    <row r="7" spans="1:3">
      <c r="A7" s="400"/>
      <c r="B7" s="936" t="s">
        <v>190</v>
      </c>
      <c r="C7" s="937"/>
    </row>
    <row r="8" spans="1:3">
      <c r="A8" s="400"/>
      <c r="B8" s="936" t="s">
        <v>265</v>
      </c>
      <c r="C8" s="937"/>
    </row>
    <row r="9" spans="1:3">
      <c r="A9" s="400"/>
      <c r="B9" s="940" t="s">
        <v>266</v>
      </c>
      <c r="C9" s="941"/>
    </row>
    <row r="10" spans="1:3">
      <c r="A10" s="400"/>
      <c r="B10" s="938" t="s">
        <v>191</v>
      </c>
      <c r="C10" s="939" t="s">
        <v>191</v>
      </c>
    </row>
    <row r="11" spans="1:3">
      <c r="A11" s="400"/>
      <c r="B11" s="938" t="s">
        <v>192</v>
      </c>
      <c r="C11" s="939" t="s">
        <v>192</v>
      </c>
    </row>
    <row r="12" spans="1:3">
      <c r="A12" s="400"/>
      <c r="B12" s="938" t="s">
        <v>193</v>
      </c>
      <c r="C12" s="939" t="s">
        <v>193</v>
      </c>
    </row>
    <row r="13" spans="1:3">
      <c r="A13" s="400"/>
      <c r="B13" s="938" t="s">
        <v>194</v>
      </c>
      <c r="C13" s="939" t="s">
        <v>194</v>
      </c>
    </row>
    <row r="14" spans="1:3">
      <c r="A14" s="400"/>
      <c r="B14" s="938" t="s">
        <v>195</v>
      </c>
      <c r="C14" s="939" t="s">
        <v>195</v>
      </c>
    </row>
    <row r="15" spans="1:3" ht="21.75" customHeight="1">
      <c r="A15" s="400"/>
      <c r="B15" s="938" t="s">
        <v>196</v>
      </c>
      <c r="C15" s="939" t="s">
        <v>196</v>
      </c>
    </row>
    <row r="16" spans="1:3">
      <c r="A16" s="400"/>
      <c r="B16" s="938" t="s">
        <v>197</v>
      </c>
      <c r="C16" s="939" t="s">
        <v>198</v>
      </c>
    </row>
    <row r="17" spans="1:3">
      <c r="A17" s="400"/>
      <c r="B17" s="938" t="s">
        <v>199</v>
      </c>
      <c r="C17" s="939" t="s">
        <v>200</v>
      </c>
    </row>
    <row r="18" spans="1:3">
      <c r="A18" s="400"/>
      <c r="B18" s="938" t="s">
        <v>201</v>
      </c>
      <c r="C18" s="939" t="s">
        <v>202</v>
      </c>
    </row>
    <row r="19" spans="1:3">
      <c r="A19" s="400"/>
      <c r="B19" s="938" t="s">
        <v>203</v>
      </c>
      <c r="C19" s="939" t="s">
        <v>203</v>
      </c>
    </row>
    <row r="20" spans="1:3">
      <c r="A20" s="400"/>
      <c r="B20" s="938" t="s">
        <v>204</v>
      </c>
      <c r="C20" s="939" t="s">
        <v>204</v>
      </c>
    </row>
    <row r="21" spans="1:3">
      <c r="A21" s="400"/>
      <c r="B21" s="938" t="s">
        <v>205</v>
      </c>
      <c r="C21" s="939" t="s">
        <v>205</v>
      </c>
    </row>
    <row r="22" spans="1:3" ht="23.25" customHeight="1">
      <c r="A22" s="400"/>
      <c r="B22" s="938" t="s">
        <v>206</v>
      </c>
      <c r="C22" s="939" t="s">
        <v>207</v>
      </c>
    </row>
    <row r="23" spans="1:3">
      <c r="A23" s="400"/>
      <c r="B23" s="938" t="s">
        <v>208</v>
      </c>
      <c r="C23" s="939" t="s">
        <v>208</v>
      </c>
    </row>
    <row r="24" spans="1:3">
      <c r="A24" s="400"/>
      <c r="B24" s="938" t="s">
        <v>209</v>
      </c>
      <c r="C24" s="939" t="s">
        <v>210</v>
      </c>
    </row>
    <row r="25" spans="1:3" ht="12.6" thickBot="1">
      <c r="A25" s="151"/>
      <c r="B25" s="947" t="s">
        <v>211</v>
      </c>
      <c r="C25" s="948"/>
    </row>
    <row r="26" spans="1:3" ht="13.2" thickTop="1" thickBot="1">
      <c r="A26" s="931" t="s">
        <v>847</v>
      </c>
      <c r="B26" s="932"/>
      <c r="C26" s="933"/>
    </row>
    <row r="27" spans="1:3" ht="13.2" thickTop="1" thickBot="1">
      <c r="A27" s="152"/>
      <c r="B27" s="949" t="s">
        <v>848</v>
      </c>
      <c r="C27" s="950"/>
    </row>
    <row r="28" spans="1:3" ht="13.2" thickTop="1" thickBot="1">
      <c r="A28" s="931" t="s">
        <v>268</v>
      </c>
      <c r="B28" s="932"/>
      <c r="C28" s="933"/>
    </row>
    <row r="29" spans="1:3" ht="12.6" thickTop="1">
      <c r="A29" s="150"/>
      <c r="B29" s="951" t="s">
        <v>851</v>
      </c>
      <c r="C29" s="952" t="s">
        <v>212</v>
      </c>
    </row>
    <row r="30" spans="1:3">
      <c r="A30" s="400"/>
      <c r="B30" s="942" t="s">
        <v>216</v>
      </c>
      <c r="C30" s="943" t="s">
        <v>213</v>
      </c>
    </row>
    <row r="31" spans="1:3">
      <c r="A31" s="400"/>
      <c r="B31" s="942" t="s">
        <v>849</v>
      </c>
      <c r="C31" s="943" t="s">
        <v>214</v>
      </c>
    </row>
    <row r="32" spans="1:3">
      <c r="A32" s="400"/>
      <c r="B32" s="942" t="s">
        <v>850</v>
      </c>
      <c r="C32" s="943" t="s">
        <v>215</v>
      </c>
    </row>
    <row r="33" spans="1:3">
      <c r="A33" s="400"/>
      <c r="B33" s="942" t="s">
        <v>219</v>
      </c>
      <c r="C33" s="943" t="s">
        <v>220</v>
      </c>
    </row>
    <row r="34" spans="1:3">
      <c r="A34" s="400"/>
      <c r="B34" s="942" t="s">
        <v>852</v>
      </c>
      <c r="C34" s="943" t="s">
        <v>217</v>
      </c>
    </row>
    <row r="35" spans="1:3">
      <c r="A35" s="400"/>
      <c r="B35" s="942" t="s">
        <v>853</v>
      </c>
      <c r="C35" s="943" t="s">
        <v>218</v>
      </c>
    </row>
    <row r="36" spans="1:3">
      <c r="A36" s="400"/>
      <c r="B36" s="944" t="s">
        <v>854</v>
      </c>
      <c r="C36" s="945"/>
    </row>
    <row r="37" spans="1:3" ht="24.75" customHeight="1">
      <c r="A37" s="400"/>
      <c r="B37" s="942" t="s">
        <v>855</v>
      </c>
      <c r="C37" s="943" t="s">
        <v>221</v>
      </c>
    </row>
    <row r="38" spans="1:3" ht="23.25" customHeight="1">
      <c r="A38" s="400"/>
      <c r="B38" s="942" t="s">
        <v>856</v>
      </c>
      <c r="C38" s="943" t="s">
        <v>222</v>
      </c>
    </row>
    <row r="39" spans="1:3" ht="23.25" customHeight="1">
      <c r="A39" s="466"/>
      <c r="B39" s="944" t="s">
        <v>857</v>
      </c>
      <c r="C39" s="946"/>
    </row>
    <row r="40" spans="1:3" ht="12" customHeight="1">
      <c r="A40" s="400"/>
      <c r="B40" s="942" t="s">
        <v>858</v>
      </c>
      <c r="C40" s="943"/>
    </row>
    <row r="41" spans="1:3" ht="12.6" thickBot="1">
      <c r="A41" s="931" t="s">
        <v>269</v>
      </c>
      <c r="B41" s="932"/>
      <c r="C41" s="933"/>
    </row>
    <row r="42" spans="1:3" ht="12.6" thickTop="1">
      <c r="A42" s="150"/>
      <c r="B42" s="934" t="s">
        <v>299</v>
      </c>
      <c r="C42" s="935" t="s">
        <v>223</v>
      </c>
    </row>
    <row r="43" spans="1:3">
      <c r="A43" s="400"/>
      <c r="B43" s="936" t="s">
        <v>298</v>
      </c>
      <c r="C43" s="937"/>
    </row>
    <row r="44" spans="1:3" ht="23.25" customHeight="1" thickBot="1">
      <c r="A44" s="151"/>
      <c r="B44" s="953" t="s">
        <v>224</v>
      </c>
      <c r="C44" s="954" t="s">
        <v>225</v>
      </c>
    </row>
    <row r="45" spans="1:3" ht="11.25" customHeight="1" thickTop="1" thickBot="1">
      <c r="A45" s="931" t="s">
        <v>270</v>
      </c>
      <c r="B45" s="932"/>
      <c r="C45" s="933"/>
    </row>
    <row r="46" spans="1:3" ht="26.25" customHeight="1" thickTop="1">
      <c r="A46" s="400"/>
      <c r="B46" s="936" t="s">
        <v>271</v>
      </c>
      <c r="C46" s="937"/>
    </row>
    <row r="47" spans="1:3" ht="12.6" thickBot="1">
      <c r="A47" s="931" t="s">
        <v>272</v>
      </c>
      <c r="B47" s="932"/>
      <c r="C47" s="933"/>
    </row>
    <row r="48" spans="1:3" ht="12.6" thickTop="1">
      <c r="A48" s="150"/>
      <c r="B48" s="934" t="s">
        <v>226</v>
      </c>
      <c r="C48" s="935" t="s">
        <v>226</v>
      </c>
    </row>
    <row r="49" spans="1:3" ht="11.25" customHeight="1">
      <c r="A49" s="400"/>
      <c r="B49" s="936" t="s">
        <v>227</v>
      </c>
      <c r="C49" s="937" t="s">
        <v>227</v>
      </c>
    </row>
    <row r="50" spans="1:3">
      <c r="A50" s="400"/>
      <c r="B50" s="936" t="s">
        <v>228</v>
      </c>
      <c r="C50" s="937" t="s">
        <v>228</v>
      </c>
    </row>
    <row r="51" spans="1:3" ht="11.25" customHeight="1">
      <c r="A51" s="400"/>
      <c r="B51" s="936" t="s">
        <v>860</v>
      </c>
      <c r="C51" s="937" t="s">
        <v>229</v>
      </c>
    </row>
    <row r="52" spans="1:3" ht="33.6" customHeight="1">
      <c r="A52" s="400"/>
      <c r="B52" s="936" t="s">
        <v>230</v>
      </c>
      <c r="C52" s="937" t="s">
        <v>230</v>
      </c>
    </row>
    <row r="53" spans="1:3" ht="11.25" customHeight="1">
      <c r="A53" s="400"/>
      <c r="B53" s="936" t="s">
        <v>319</v>
      </c>
      <c r="C53" s="937" t="s">
        <v>231</v>
      </c>
    </row>
    <row r="54" spans="1:3" ht="11.25" customHeight="1" thickBot="1">
      <c r="A54" s="931" t="s">
        <v>273</v>
      </c>
      <c r="B54" s="932"/>
      <c r="C54" s="933"/>
    </row>
    <row r="55" spans="1:3" ht="12.6" thickTop="1">
      <c r="A55" s="150"/>
      <c r="B55" s="934" t="s">
        <v>226</v>
      </c>
      <c r="C55" s="935" t="s">
        <v>226</v>
      </c>
    </row>
    <row r="56" spans="1:3">
      <c r="A56" s="400"/>
      <c r="B56" s="936" t="s">
        <v>232</v>
      </c>
      <c r="C56" s="937" t="s">
        <v>232</v>
      </c>
    </row>
    <row r="57" spans="1:3">
      <c r="A57" s="400"/>
      <c r="B57" s="936" t="s">
        <v>276</v>
      </c>
      <c r="C57" s="937" t="s">
        <v>233</v>
      </c>
    </row>
    <row r="58" spans="1:3">
      <c r="A58" s="400"/>
      <c r="B58" s="936" t="s">
        <v>234</v>
      </c>
      <c r="C58" s="937" t="s">
        <v>234</v>
      </c>
    </row>
    <row r="59" spans="1:3">
      <c r="A59" s="400"/>
      <c r="B59" s="936" t="s">
        <v>235</v>
      </c>
      <c r="C59" s="937" t="s">
        <v>235</v>
      </c>
    </row>
    <row r="60" spans="1:3">
      <c r="A60" s="400"/>
      <c r="B60" s="936" t="s">
        <v>236</v>
      </c>
      <c r="C60" s="937" t="s">
        <v>236</v>
      </c>
    </row>
    <row r="61" spans="1:3">
      <c r="A61" s="400"/>
      <c r="B61" s="936" t="s">
        <v>277</v>
      </c>
      <c r="C61" s="937" t="s">
        <v>237</v>
      </c>
    </row>
    <row r="62" spans="1:3">
      <c r="A62" s="400"/>
      <c r="B62" s="936" t="s">
        <v>238</v>
      </c>
      <c r="C62" s="937" t="s">
        <v>238</v>
      </c>
    </row>
    <row r="63" spans="1:3" ht="12.6" thickBot="1">
      <c r="A63" s="151"/>
      <c r="B63" s="953" t="s">
        <v>239</v>
      </c>
      <c r="C63" s="954" t="s">
        <v>239</v>
      </c>
    </row>
    <row r="64" spans="1:3" ht="11.25" customHeight="1" thickTop="1">
      <c r="A64" s="957" t="s">
        <v>274</v>
      </c>
      <c r="B64" s="958"/>
      <c r="C64" s="959"/>
    </row>
    <row r="65" spans="1:3" ht="12.6" thickBot="1">
      <c r="A65" s="151"/>
      <c r="B65" s="953" t="s">
        <v>240</v>
      </c>
      <c r="C65" s="954" t="s">
        <v>240</v>
      </c>
    </row>
    <row r="66" spans="1:3" ht="11.25" customHeight="1" thickTop="1" thickBot="1">
      <c r="A66" s="931" t="s">
        <v>275</v>
      </c>
      <c r="B66" s="932"/>
      <c r="C66" s="933"/>
    </row>
    <row r="67" spans="1:3" ht="12.6" thickTop="1">
      <c r="A67" s="150"/>
      <c r="B67" s="934" t="s">
        <v>241</v>
      </c>
      <c r="C67" s="935" t="s">
        <v>241</v>
      </c>
    </row>
    <row r="68" spans="1:3">
      <c r="A68" s="400"/>
      <c r="B68" s="936" t="s">
        <v>862</v>
      </c>
      <c r="C68" s="937" t="s">
        <v>242</v>
      </c>
    </row>
    <row r="69" spans="1:3">
      <c r="A69" s="400"/>
      <c r="B69" s="936" t="s">
        <v>243</v>
      </c>
      <c r="C69" s="937" t="s">
        <v>243</v>
      </c>
    </row>
    <row r="70" spans="1:3" ht="55.05" customHeight="1">
      <c r="A70" s="400"/>
      <c r="B70" s="955" t="s">
        <v>689</v>
      </c>
      <c r="C70" s="956" t="s">
        <v>244</v>
      </c>
    </row>
    <row r="71" spans="1:3" ht="33.75" customHeight="1">
      <c r="A71" s="400"/>
      <c r="B71" s="955" t="s">
        <v>278</v>
      </c>
      <c r="C71" s="956" t="s">
        <v>245</v>
      </c>
    </row>
    <row r="72" spans="1:3" ht="15.75" customHeight="1">
      <c r="A72" s="400"/>
      <c r="B72" s="955" t="s">
        <v>863</v>
      </c>
      <c r="C72" s="956" t="s">
        <v>246</v>
      </c>
    </row>
    <row r="73" spans="1:3">
      <c r="A73" s="400"/>
      <c r="B73" s="936" t="s">
        <v>247</v>
      </c>
      <c r="C73" s="937" t="s">
        <v>247</v>
      </c>
    </row>
    <row r="74" spans="1:3" ht="12.6" thickBot="1">
      <c r="A74" s="151"/>
      <c r="B74" s="953" t="s">
        <v>248</v>
      </c>
      <c r="C74" s="954" t="s">
        <v>248</v>
      </c>
    </row>
    <row r="75" spans="1:3" ht="12.6" thickTop="1">
      <c r="A75" s="957" t="s">
        <v>302</v>
      </c>
      <c r="B75" s="958"/>
      <c r="C75" s="959"/>
    </row>
    <row r="76" spans="1:3">
      <c r="A76" s="400"/>
      <c r="B76" s="936" t="s">
        <v>240</v>
      </c>
      <c r="C76" s="937"/>
    </row>
    <row r="77" spans="1:3">
      <c r="A77" s="400"/>
      <c r="B77" s="936" t="s">
        <v>300</v>
      </c>
      <c r="C77" s="937"/>
    </row>
    <row r="78" spans="1:3">
      <c r="A78" s="400"/>
      <c r="B78" s="936" t="s">
        <v>301</v>
      </c>
      <c r="C78" s="937"/>
    </row>
    <row r="79" spans="1:3">
      <c r="A79" s="957" t="s">
        <v>303</v>
      </c>
      <c r="B79" s="958"/>
      <c r="C79" s="959"/>
    </row>
    <row r="80" spans="1:3">
      <c r="A80" s="400"/>
      <c r="B80" s="936" t="s">
        <v>240</v>
      </c>
      <c r="C80" s="937"/>
    </row>
    <row r="81" spans="1:3">
      <c r="A81" s="400"/>
      <c r="B81" s="936" t="s">
        <v>304</v>
      </c>
      <c r="C81" s="937"/>
    </row>
    <row r="82" spans="1:3" ht="79.5" customHeight="1">
      <c r="A82" s="400"/>
      <c r="B82" s="936" t="s">
        <v>318</v>
      </c>
      <c r="C82" s="937"/>
    </row>
    <row r="83" spans="1:3" ht="53.25" customHeight="1">
      <c r="A83" s="400"/>
      <c r="B83" s="936" t="s">
        <v>317</v>
      </c>
      <c r="C83" s="937"/>
    </row>
    <row r="84" spans="1:3">
      <c r="A84" s="400"/>
      <c r="B84" s="936" t="s">
        <v>305</v>
      </c>
      <c r="C84" s="937"/>
    </row>
    <row r="85" spans="1:3">
      <c r="A85" s="400"/>
      <c r="B85" s="936" t="s">
        <v>306</v>
      </c>
      <c r="C85" s="937"/>
    </row>
    <row r="86" spans="1:3">
      <c r="A86" s="400"/>
      <c r="B86" s="936" t="s">
        <v>307</v>
      </c>
      <c r="C86" s="937"/>
    </row>
    <row r="87" spans="1:3">
      <c r="A87" s="957" t="s">
        <v>308</v>
      </c>
      <c r="B87" s="958"/>
      <c r="C87" s="959"/>
    </row>
    <row r="88" spans="1:3">
      <c r="A88" s="400"/>
      <c r="B88" s="936" t="s">
        <v>240</v>
      </c>
      <c r="C88" s="937"/>
    </row>
    <row r="89" spans="1:3">
      <c r="A89" s="400"/>
      <c r="B89" s="936" t="s">
        <v>310</v>
      </c>
      <c r="C89" s="937"/>
    </row>
    <row r="90" spans="1:3" ht="12" customHeight="1">
      <c r="A90" s="400"/>
      <c r="B90" s="936" t="s">
        <v>311</v>
      </c>
      <c r="C90" s="937"/>
    </row>
    <row r="91" spans="1:3">
      <c r="A91" s="400"/>
      <c r="B91" s="936" t="s">
        <v>312</v>
      </c>
      <c r="C91" s="937"/>
    </row>
    <row r="92" spans="1:3" ht="24.75" customHeight="1">
      <c r="A92" s="400"/>
      <c r="B92" s="960" t="s">
        <v>348</v>
      </c>
      <c r="C92" s="961"/>
    </row>
    <row r="93" spans="1:3" ht="24" customHeight="1">
      <c r="A93" s="400"/>
      <c r="B93" s="960" t="s">
        <v>349</v>
      </c>
      <c r="C93" s="961"/>
    </row>
    <row r="94" spans="1:3" ht="13.5" customHeight="1">
      <c r="A94" s="400"/>
      <c r="B94" s="962" t="s">
        <v>313</v>
      </c>
      <c r="C94" s="963"/>
    </row>
    <row r="95" spans="1:3" ht="11.25" customHeight="1" thickBot="1">
      <c r="A95" s="964" t="s">
        <v>344</v>
      </c>
      <c r="B95" s="965"/>
      <c r="C95" s="966"/>
    </row>
    <row r="96" spans="1:3" ht="13.2" thickTop="1" thickBot="1">
      <c r="A96" s="973" t="s">
        <v>249</v>
      </c>
      <c r="B96" s="973"/>
      <c r="C96" s="973"/>
    </row>
    <row r="97" spans="1:3">
      <c r="A97" s="232">
        <v>2</v>
      </c>
      <c r="B97" s="388" t="s">
        <v>324</v>
      </c>
      <c r="C97" s="388" t="s">
        <v>345</v>
      </c>
    </row>
    <row r="98" spans="1:3">
      <c r="A98" s="155">
        <v>3</v>
      </c>
      <c r="B98" s="389" t="s">
        <v>325</v>
      </c>
      <c r="C98" s="390" t="s">
        <v>346</v>
      </c>
    </row>
    <row r="99" spans="1:3">
      <c r="A99" s="155">
        <v>4</v>
      </c>
      <c r="B99" s="389" t="s">
        <v>326</v>
      </c>
      <c r="C99" s="390" t="s">
        <v>350</v>
      </c>
    </row>
    <row r="100" spans="1:3" ht="11.25" customHeight="1">
      <c r="A100" s="155">
        <v>5</v>
      </c>
      <c r="B100" s="389" t="s">
        <v>327</v>
      </c>
      <c r="C100" s="390" t="s">
        <v>347</v>
      </c>
    </row>
    <row r="101" spans="1:3" ht="12" customHeight="1">
      <c r="A101" s="155">
        <v>6</v>
      </c>
      <c r="B101" s="389" t="s">
        <v>342</v>
      </c>
      <c r="C101" s="390" t="s">
        <v>328</v>
      </c>
    </row>
    <row r="102" spans="1:3" ht="12" customHeight="1">
      <c r="A102" s="155">
        <v>7</v>
      </c>
      <c r="B102" s="389" t="s">
        <v>329</v>
      </c>
      <c r="C102" s="390" t="s">
        <v>343</v>
      </c>
    </row>
    <row r="103" spans="1:3">
      <c r="A103" s="155">
        <v>8</v>
      </c>
      <c r="B103" s="389" t="s">
        <v>334</v>
      </c>
      <c r="C103" s="390" t="s">
        <v>354</v>
      </c>
    </row>
    <row r="104" spans="1:3" ht="11.25" customHeight="1">
      <c r="A104" s="957" t="s">
        <v>314</v>
      </c>
      <c r="B104" s="958"/>
      <c r="C104" s="959"/>
    </row>
    <row r="105" spans="1:3" ht="12" customHeight="1">
      <c r="A105" s="400"/>
      <c r="B105" s="936" t="s">
        <v>240</v>
      </c>
      <c r="C105" s="937"/>
    </row>
    <row r="106" spans="1:3">
      <c r="A106" s="957" t="s">
        <v>489</v>
      </c>
      <c r="B106" s="958"/>
      <c r="C106" s="959"/>
    </row>
    <row r="107" spans="1:3" ht="12" customHeight="1">
      <c r="A107" s="400"/>
      <c r="B107" s="936" t="s">
        <v>491</v>
      </c>
      <c r="C107" s="937"/>
    </row>
    <row r="108" spans="1:3">
      <c r="A108" s="400"/>
      <c r="B108" s="936" t="s">
        <v>492</v>
      </c>
      <c r="C108" s="937"/>
    </row>
    <row r="109" spans="1:3">
      <c r="A109" s="400"/>
      <c r="B109" s="936" t="s">
        <v>490</v>
      </c>
      <c r="C109" s="937"/>
    </row>
    <row r="110" spans="1:3">
      <c r="A110" s="967" t="s">
        <v>727</v>
      </c>
      <c r="B110" s="967"/>
      <c r="C110" s="967"/>
    </row>
    <row r="111" spans="1:3">
      <c r="A111" s="968" t="s">
        <v>187</v>
      </c>
      <c r="B111" s="968"/>
      <c r="C111" s="968"/>
    </row>
    <row r="112" spans="1:3">
      <c r="A112" s="614">
        <v>1</v>
      </c>
      <c r="B112" s="969" t="s">
        <v>607</v>
      </c>
      <c r="C112" s="970"/>
    </row>
    <row r="113" spans="1:3">
      <c r="A113" s="614">
        <v>2</v>
      </c>
      <c r="B113" s="971" t="s">
        <v>608</v>
      </c>
      <c r="C113" s="972"/>
    </row>
    <row r="114" spans="1:3">
      <c r="A114" s="614">
        <v>3</v>
      </c>
      <c r="B114" s="969" t="s">
        <v>944</v>
      </c>
      <c r="C114" s="970"/>
    </row>
    <row r="115" spans="1:3">
      <c r="A115" s="614">
        <v>4</v>
      </c>
      <c r="B115" s="969" t="s">
        <v>943</v>
      </c>
      <c r="C115" s="970"/>
    </row>
    <row r="116" spans="1:3">
      <c r="A116" s="614">
        <v>5</v>
      </c>
      <c r="B116" s="618" t="s">
        <v>942</v>
      </c>
      <c r="C116" s="617"/>
    </row>
    <row r="117" spans="1:3">
      <c r="A117" s="614">
        <v>6</v>
      </c>
      <c r="B117" s="969" t="s">
        <v>941</v>
      </c>
      <c r="C117" s="970"/>
    </row>
    <row r="118" spans="1:3">
      <c r="A118" s="614">
        <v>7</v>
      </c>
      <c r="B118" s="969" t="s">
        <v>940</v>
      </c>
      <c r="C118" s="970"/>
    </row>
    <row r="119" spans="1:3">
      <c r="A119" s="591">
        <v>8</v>
      </c>
      <c r="B119" s="586" t="s">
        <v>634</v>
      </c>
      <c r="C119" s="611" t="s">
        <v>939</v>
      </c>
    </row>
    <row r="120" spans="1:3" ht="24">
      <c r="A120" s="614">
        <v>9.01</v>
      </c>
      <c r="B120" s="586" t="s">
        <v>518</v>
      </c>
      <c r="C120" s="587" t="s">
        <v>684</v>
      </c>
    </row>
    <row r="121" spans="1:3" ht="36">
      <c r="A121" s="614">
        <v>9.02</v>
      </c>
      <c r="B121" s="586" t="s">
        <v>519</v>
      </c>
      <c r="C121" s="587" t="s">
        <v>687</v>
      </c>
    </row>
    <row r="122" spans="1:3">
      <c r="A122" s="614">
        <v>9.0299999999999994</v>
      </c>
      <c r="B122" s="587" t="s">
        <v>871</v>
      </c>
      <c r="C122" s="587" t="s">
        <v>609</v>
      </c>
    </row>
    <row r="123" spans="1:3">
      <c r="A123" s="614">
        <v>9.0399999999999991</v>
      </c>
      <c r="B123" s="586" t="s">
        <v>520</v>
      </c>
      <c r="C123" s="587" t="s">
        <v>610</v>
      </c>
    </row>
    <row r="124" spans="1:3">
      <c r="A124" s="614">
        <v>9.0500000000000007</v>
      </c>
      <c r="B124" s="586" t="s">
        <v>521</v>
      </c>
      <c r="C124" s="587" t="s">
        <v>611</v>
      </c>
    </row>
    <row r="125" spans="1:3" ht="24">
      <c r="A125" s="614">
        <v>9.06</v>
      </c>
      <c r="B125" s="586" t="s">
        <v>522</v>
      </c>
      <c r="C125" s="587" t="s">
        <v>612</v>
      </c>
    </row>
    <row r="126" spans="1:3">
      <c r="A126" s="614">
        <v>9.07</v>
      </c>
      <c r="B126" s="616" t="s">
        <v>523</v>
      </c>
      <c r="C126" s="587" t="s">
        <v>613</v>
      </c>
    </row>
    <row r="127" spans="1:3" ht="24">
      <c r="A127" s="614">
        <v>9.08</v>
      </c>
      <c r="B127" s="586" t="s">
        <v>524</v>
      </c>
      <c r="C127" s="587" t="s">
        <v>614</v>
      </c>
    </row>
    <row r="128" spans="1:3" ht="24">
      <c r="A128" s="614">
        <v>9.09</v>
      </c>
      <c r="B128" s="586" t="s">
        <v>525</v>
      </c>
      <c r="C128" s="587" t="s">
        <v>615</v>
      </c>
    </row>
    <row r="129" spans="1:3">
      <c r="A129" s="615">
        <v>9.1</v>
      </c>
      <c r="B129" s="586" t="s">
        <v>526</v>
      </c>
      <c r="C129" s="587" t="s">
        <v>616</v>
      </c>
    </row>
    <row r="130" spans="1:3">
      <c r="A130" s="614">
        <v>9.11</v>
      </c>
      <c r="B130" s="586" t="s">
        <v>527</v>
      </c>
      <c r="C130" s="587" t="s">
        <v>617</v>
      </c>
    </row>
    <row r="131" spans="1:3">
      <c r="A131" s="614">
        <v>9.1199999999999992</v>
      </c>
      <c r="B131" s="586" t="s">
        <v>528</v>
      </c>
      <c r="C131" s="587" t="s">
        <v>618</v>
      </c>
    </row>
    <row r="132" spans="1:3">
      <c r="A132" s="614">
        <v>9.1300000000000008</v>
      </c>
      <c r="B132" s="586" t="s">
        <v>529</v>
      </c>
      <c r="C132" s="587" t="s">
        <v>619</v>
      </c>
    </row>
    <row r="133" spans="1:3">
      <c r="A133" s="614">
        <v>9.14</v>
      </c>
      <c r="B133" s="586" t="s">
        <v>530</v>
      </c>
      <c r="C133" s="587" t="s">
        <v>620</v>
      </c>
    </row>
    <row r="134" spans="1:3">
      <c r="A134" s="614">
        <v>9.15</v>
      </c>
      <c r="B134" s="586" t="s">
        <v>531</v>
      </c>
      <c r="C134" s="587" t="s">
        <v>621</v>
      </c>
    </row>
    <row r="135" spans="1:3">
      <c r="A135" s="614">
        <v>9.16</v>
      </c>
      <c r="B135" s="586" t="s">
        <v>532</v>
      </c>
      <c r="C135" s="587" t="s">
        <v>622</v>
      </c>
    </row>
    <row r="136" spans="1:3">
      <c r="A136" s="614">
        <v>9.17</v>
      </c>
      <c r="B136" s="587" t="s">
        <v>533</v>
      </c>
      <c r="C136" s="587" t="s">
        <v>623</v>
      </c>
    </row>
    <row r="137" spans="1:3" ht="24">
      <c r="A137" s="614">
        <v>9.18</v>
      </c>
      <c r="B137" s="586" t="s">
        <v>534</v>
      </c>
      <c r="C137" s="587" t="s">
        <v>624</v>
      </c>
    </row>
    <row r="138" spans="1:3">
      <c r="A138" s="614">
        <v>9.19</v>
      </c>
      <c r="B138" s="586" t="s">
        <v>535</v>
      </c>
      <c r="C138" s="587" t="s">
        <v>625</v>
      </c>
    </row>
    <row r="139" spans="1:3">
      <c r="A139" s="615">
        <v>9.1999999999999993</v>
      </c>
      <c r="B139" s="586" t="s">
        <v>536</v>
      </c>
      <c r="C139" s="587" t="s">
        <v>626</v>
      </c>
    </row>
    <row r="140" spans="1:3">
      <c r="A140" s="614">
        <v>9.2100000000000009</v>
      </c>
      <c r="B140" s="586" t="s">
        <v>537</v>
      </c>
      <c r="C140" s="587" t="s">
        <v>627</v>
      </c>
    </row>
    <row r="141" spans="1:3">
      <c r="A141" s="614">
        <v>9.2200000000000006</v>
      </c>
      <c r="B141" s="586" t="s">
        <v>538</v>
      </c>
      <c r="C141" s="587" t="s">
        <v>628</v>
      </c>
    </row>
    <row r="142" spans="1:3" ht="24">
      <c r="A142" s="614">
        <v>9.23</v>
      </c>
      <c r="B142" s="586" t="s">
        <v>539</v>
      </c>
      <c r="C142" s="587" t="s">
        <v>629</v>
      </c>
    </row>
    <row r="143" spans="1:3" ht="24">
      <c r="A143" s="614">
        <v>9.24</v>
      </c>
      <c r="B143" s="586" t="s">
        <v>540</v>
      </c>
      <c r="C143" s="587" t="s">
        <v>630</v>
      </c>
    </row>
    <row r="144" spans="1:3">
      <c r="A144" s="614">
        <v>9.2500000000000107</v>
      </c>
      <c r="B144" s="586" t="s">
        <v>541</v>
      </c>
      <c r="C144" s="587" t="s">
        <v>631</v>
      </c>
    </row>
    <row r="145" spans="1:3" ht="24">
      <c r="A145" s="614">
        <v>9.2600000000000193</v>
      </c>
      <c r="B145" s="586" t="s">
        <v>632</v>
      </c>
      <c r="C145" s="613" t="s">
        <v>633</v>
      </c>
    </row>
    <row r="146" spans="1:3" s="401" customFormat="1" ht="24">
      <c r="A146" s="614">
        <v>9.2700000000000298</v>
      </c>
      <c r="B146" s="586" t="s">
        <v>99</v>
      </c>
      <c r="C146" s="613" t="s">
        <v>685</v>
      </c>
    </row>
    <row r="147" spans="1:3" s="401" customFormat="1">
      <c r="A147" s="592"/>
      <c r="B147" s="975" t="s">
        <v>635</v>
      </c>
      <c r="C147" s="976"/>
    </row>
    <row r="148" spans="1:3" s="401" customFormat="1">
      <c r="A148" s="591">
        <v>1</v>
      </c>
      <c r="B148" s="977" t="s">
        <v>938</v>
      </c>
      <c r="C148" s="978"/>
    </row>
    <row r="149" spans="1:3" s="401" customFormat="1">
      <c r="A149" s="591">
        <v>2</v>
      </c>
      <c r="B149" s="977" t="s">
        <v>686</v>
      </c>
      <c r="C149" s="978"/>
    </row>
    <row r="150" spans="1:3" s="401" customFormat="1">
      <c r="A150" s="591">
        <v>3</v>
      </c>
      <c r="B150" s="977" t="s">
        <v>683</v>
      </c>
      <c r="C150" s="978"/>
    </row>
    <row r="151" spans="1:3" s="401" customFormat="1">
      <c r="A151" s="592"/>
      <c r="B151" s="975" t="s">
        <v>636</v>
      </c>
      <c r="C151" s="976"/>
    </row>
    <row r="152" spans="1:3" s="401" customFormat="1">
      <c r="A152" s="591">
        <v>1</v>
      </c>
      <c r="B152" s="980" t="s">
        <v>937</v>
      </c>
      <c r="C152" s="983"/>
    </row>
    <row r="153" spans="1:3" s="401" customFormat="1">
      <c r="A153" s="591">
        <v>2</v>
      </c>
      <c r="B153" s="586" t="s">
        <v>869</v>
      </c>
      <c r="C153" s="611" t="s">
        <v>922</v>
      </c>
    </row>
    <row r="154" spans="1:3" ht="24">
      <c r="A154" s="591">
        <v>3</v>
      </c>
      <c r="B154" s="586" t="s">
        <v>868</v>
      </c>
      <c r="C154" s="611" t="s">
        <v>936</v>
      </c>
    </row>
    <row r="155" spans="1:3">
      <c r="A155" s="591">
        <v>4</v>
      </c>
      <c r="B155" s="586" t="s">
        <v>511</v>
      </c>
      <c r="C155" s="586" t="s">
        <v>637</v>
      </c>
    </row>
    <row r="156" spans="1:3" ht="25.05" customHeight="1">
      <c r="A156" s="592"/>
      <c r="B156" s="975" t="s">
        <v>638</v>
      </c>
      <c r="C156" s="976"/>
    </row>
    <row r="157" spans="1:3" ht="24">
      <c r="A157" s="591"/>
      <c r="B157" s="586" t="s">
        <v>923</v>
      </c>
      <c r="C157" s="593" t="s">
        <v>935</v>
      </c>
    </row>
    <row r="158" spans="1:3">
      <c r="A158" s="592"/>
      <c r="B158" s="975" t="s">
        <v>639</v>
      </c>
      <c r="C158" s="976"/>
    </row>
    <row r="159" spans="1:3" ht="39" customHeight="1">
      <c r="A159" s="592"/>
      <c r="B159" s="977" t="s">
        <v>934</v>
      </c>
      <c r="C159" s="978"/>
    </row>
    <row r="160" spans="1:3">
      <c r="A160" s="592" t="s">
        <v>640</v>
      </c>
      <c r="B160" s="612" t="s">
        <v>549</v>
      </c>
      <c r="C160" s="604" t="s">
        <v>641</v>
      </c>
    </row>
    <row r="161" spans="1:3">
      <c r="A161" s="592" t="s">
        <v>369</v>
      </c>
      <c r="B161" s="609" t="s">
        <v>550</v>
      </c>
      <c r="C161" s="611" t="s">
        <v>933</v>
      </c>
    </row>
    <row r="162" spans="1:3" ht="24">
      <c r="A162" s="592" t="s">
        <v>376</v>
      </c>
      <c r="B162" s="604" t="s">
        <v>551</v>
      </c>
      <c r="C162" s="611" t="s">
        <v>642</v>
      </c>
    </row>
    <row r="163" spans="1:3">
      <c r="A163" s="592" t="s">
        <v>643</v>
      </c>
      <c r="B163" s="609" t="s">
        <v>552</v>
      </c>
      <c r="C163" s="610" t="s">
        <v>644</v>
      </c>
    </row>
    <row r="164" spans="1:3" ht="24">
      <c r="A164" s="592" t="s">
        <v>645</v>
      </c>
      <c r="B164" s="609" t="s">
        <v>884</v>
      </c>
      <c r="C164" s="603" t="s">
        <v>932</v>
      </c>
    </row>
    <row r="165" spans="1:3" ht="24">
      <c r="A165" s="592" t="s">
        <v>377</v>
      </c>
      <c r="B165" s="609" t="s">
        <v>553</v>
      </c>
      <c r="C165" s="603" t="s">
        <v>647</v>
      </c>
    </row>
    <row r="166" spans="1:3" ht="24">
      <c r="A166" s="592" t="s">
        <v>646</v>
      </c>
      <c r="B166" s="607" t="s">
        <v>556</v>
      </c>
      <c r="C166" s="608" t="s">
        <v>654</v>
      </c>
    </row>
    <row r="167" spans="1:3" ht="24">
      <c r="A167" s="592" t="s">
        <v>648</v>
      </c>
      <c r="B167" s="607" t="s">
        <v>554</v>
      </c>
      <c r="C167" s="603" t="s">
        <v>650</v>
      </c>
    </row>
    <row r="168" spans="1:3" ht="26.55" customHeight="1">
      <c r="A168" s="592" t="s">
        <v>649</v>
      </c>
      <c r="B168" s="607" t="s">
        <v>555</v>
      </c>
      <c r="C168" s="608" t="s">
        <v>652</v>
      </c>
    </row>
    <row r="169" spans="1:3">
      <c r="A169" s="592" t="s">
        <v>651</v>
      </c>
      <c r="B169" s="587" t="s">
        <v>557</v>
      </c>
      <c r="C169" s="608" t="s">
        <v>656</v>
      </c>
    </row>
    <row r="170" spans="1:3" ht="24">
      <c r="A170" s="592" t="s">
        <v>653</v>
      </c>
      <c r="B170" s="607" t="s">
        <v>558</v>
      </c>
      <c r="C170" s="606" t="s">
        <v>657</v>
      </c>
    </row>
    <row r="171" spans="1:3">
      <c r="A171" s="592" t="s">
        <v>655</v>
      </c>
      <c r="B171" s="605" t="s">
        <v>559</v>
      </c>
      <c r="C171" s="604" t="s">
        <v>658</v>
      </c>
    </row>
    <row r="172" spans="1:3" ht="24">
      <c r="A172" s="592"/>
      <c r="B172" s="603" t="s">
        <v>931</v>
      </c>
      <c r="C172" s="587" t="s">
        <v>659</v>
      </c>
    </row>
    <row r="173" spans="1:3" ht="24">
      <c r="A173" s="592"/>
      <c r="B173" s="603" t="s">
        <v>930</v>
      </c>
      <c r="C173" s="587" t="s">
        <v>660</v>
      </c>
    </row>
    <row r="174" spans="1:3" ht="24">
      <c r="A174" s="592"/>
      <c r="B174" s="603" t="s">
        <v>929</v>
      </c>
      <c r="C174" s="587" t="s">
        <v>661</v>
      </c>
    </row>
    <row r="175" spans="1:3">
      <c r="A175" s="592"/>
      <c r="B175" s="975" t="s">
        <v>662</v>
      </c>
      <c r="C175" s="976"/>
    </row>
    <row r="176" spans="1:3">
      <c r="A176" s="592"/>
      <c r="B176" s="977" t="s">
        <v>928</v>
      </c>
      <c r="C176" s="978"/>
    </row>
    <row r="177" spans="1:3">
      <c r="A177" s="591">
        <v>1</v>
      </c>
      <c r="B177" s="587" t="s">
        <v>563</v>
      </c>
      <c r="C177" s="587" t="s">
        <v>563</v>
      </c>
    </row>
    <row r="178" spans="1:3" ht="24">
      <c r="A178" s="591">
        <v>2</v>
      </c>
      <c r="B178" s="587" t="s">
        <v>663</v>
      </c>
      <c r="C178" s="587" t="s">
        <v>664</v>
      </c>
    </row>
    <row r="179" spans="1:3">
      <c r="A179" s="591">
        <v>3</v>
      </c>
      <c r="B179" s="587" t="s">
        <v>565</v>
      </c>
      <c r="C179" s="587" t="s">
        <v>665</v>
      </c>
    </row>
    <row r="180" spans="1:3" ht="24">
      <c r="A180" s="591">
        <v>4</v>
      </c>
      <c r="B180" s="587" t="s">
        <v>566</v>
      </c>
      <c r="C180" s="587" t="s">
        <v>666</v>
      </c>
    </row>
    <row r="181" spans="1:3" ht="24">
      <c r="A181" s="591">
        <v>5</v>
      </c>
      <c r="B181" s="587" t="s">
        <v>567</v>
      </c>
      <c r="C181" s="587" t="s">
        <v>688</v>
      </c>
    </row>
    <row r="182" spans="1:3" ht="48">
      <c r="A182" s="591">
        <v>6</v>
      </c>
      <c r="B182" s="587" t="s">
        <v>568</v>
      </c>
      <c r="C182" s="587" t="s">
        <v>667</v>
      </c>
    </row>
    <row r="183" spans="1:3">
      <c r="A183" s="592"/>
      <c r="B183" s="975" t="s">
        <v>668</v>
      </c>
      <c r="C183" s="976"/>
    </row>
    <row r="184" spans="1:3">
      <c r="A184" s="592"/>
      <c r="B184" s="979" t="s">
        <v>927</v>
      </c>
      <c r="C184" s="980"/>
    </row>
    <row r="185" spans="1:3" ht="24">
      <c r="A185" s="592">
        <v>1.1000000000000001</v>
      </c>
      <c r="B185" s="602" t="s">
        <v>573</v>
      </c>
      <c r="C185" s="587" t="s">
        <v>669</v>
      </c>
    </row>
    <row r="186" spans="1:3" ht="49.95" customHeight="1">
      <c r="A186" s="592" t="s">
        <v>157</v>
      </c>
      <c r="B186" s="588" t="s">
        <v>574</v>
      </c>
      <c r="C186" s="587" t="s">
        <v>670</v>
      </c>
    </row>
    <row r="187" spans="1:3">
      <c r="A187" s="592" t="s">
        <v>575</v>
      </c>
      <c r="B187" s="601" t="s">
        <v>576</v>
      </c>
      <c r="C187" s="981" t="s">
        <v>926</v>
      </c>
    </row>
    <row r="188" spans="1:3">
      <c r="A188" s="592" t="s">
        <v>577</v>
      </c>
      <c r="B188" s="601" t="s">
        <v>578</v>
      </c>
      <c r="C188" s="981"/>
    </row>
    <row r="189" spans="1:3">
      <c r="A189" s="592" t="s">
        <v>579</v>
      </c>
      <c r="B189" s="601" t="s">
        <v>580</v>
      </c>
      <c r="C189" s="981"/>
    </row>
    <row r="190" spans="1:3">
      <c r="A190" s="592" t="s">
        <v>581</v>
      </c>
      <c r="B190" s="601" t="s">
        <v>582</v>
      </c>
      <c r="C190" s="981"/>
    </row>
    <row r="191" spans="1:3">
      <c r="A191" s="592">
        <v>1.2</v>
      </c>
      <c r="B191" s="600" t="s">
        <v>898</v>
      </c>
      <c r="C191" s="586" t="s">
        <v>925</v>
      </c>
    </row>
    <row r="192" spans="1:3" ht="24">
      <c r="A192" s="592" t="s">
        <v>584</v>
      </c>
      <c r="B192" s="595" t="s">
        <v>585</v>
      </c>
      <c r="C192" s="598" t="s">
        <v>671</v>
      </c>
    </row>
    <row r="193" spans="1:4" ht="24">
      <c r="A193" s="592" t="s">
        <v>586</v>
      </c>
      <c r="B193" s="599" t="s">
        <v>587</v>
      </c>
      <c r="C193" s="598" t="s">
        <v>672</v>
      </c>
    </row>
    <row r="194" spans="1:4" ht="25.95" customHeight="1">
      <c r="A194" s="592" t="s">
        <v>588</v>
      </c>
      <c r="B194" s="597" t="s">
        <v>589</v>
      </c>
      <c r="C194" s="586" t="s">
        <v>673</v>
      </c>
    </row>
    <row r="195" spans="1:4" ht="24">
      <c r="A195" s="592" t="s">
        <v>590</v>
      </c>
      <c r="B195" s="596" t="s">
        <v>591</v>
      </c>
      <c r="C195" s="586" t="s">
        <v>674</v>
      </c>
      <c r="D195" s="402"/>
    </row>
    <row r="196" spans="1:4" ht="12.6">
      <c r="A196" s="592">
        <v>1.4</v>
      </c>
      <c r="B196" s="595" t="s">
        <v>681</v>
      </c>
      <c r="C196" s="594" t="s">
        <v>675</v>
      </c>
      <c r="D196" s="403"/>
    </row>
    <row r="197" spans="1:4" ht="12.6">
      <c r="A197" s="592">
        <v>1.5</v>
      </c>
      <c r="B197" s="595" t="s">
        <v>682</v>
      </c>
      <c r="C197" s="594" t="s">
        <v>675</v>
      </c>
      <c r="D197" s="404"/>
    </row>
    <row r="198" spans="1:4" ht="12.6">
      <c r="A198" s="592"/>
      <c r="B198" s="967" t="s">
        <v>676</v>
      </c>
      <c r="C198" s="967"/>
      <c r="D198" s="404"/>
    </row>
    <row r="199" spans="1:4" ht="12.6">
      <c r="A199" s="592"/>
      <c r="B199" s="979" t="s">
        <v>924</v>
      </c>
      <c r="C199" s="979"/>
      <c r="D199" s="404"/>
    </row>
    <row r="200" spans="1:4" ht="12.6">
      <c r="A200" s="591"/>
      <c r="B200" s="586" t="s">
        <v>923</v>
      </c>
      <c r="C200" s="593" t="s">
        <v>922</v>
      </c>
      <c r="D200" s="404"/>
    </row>
    <row r="201" spans="1:4" ht="12.6">
      <c r="A201" s="592"/>
      <c r="B201" s="967" t="s">
        <v>677</v>
      </c>
      <c r="C201" s="967"/>
      <c r="D201" s="405"/>
    </row>
    <row r="202" spans="1:4" ht="12.6">
      <c r="A202" s="591"/>
      <c r="B202" s="979" t="s">
        <v>921</v>
      </c>
      <c r="C202" s="979"/>
      <c r="D202" s="406"/>
    </row>
    <row r="203" spans="1:4" ht="12.6">
      <c r="B203" s="967" t="s">
        <v>715</v>
      </c>
      <c r="C203" s="967"/>
      <c r="D203" s="407"/>
    </row>
    <row r="204" spans="1:4" ht="24">
      <c r="A204" s="588">
        <v>1</v>
      </c>
      <c r="B204" s="586" t="s">
        <v>691</v>
      </c>
      <c r="C204" s="586" t="s">
        <v>703</v>
      </c>
      <c r="D204" s="406"/>
    </row>
    <row r="205" spans="1:4" ht="18" customHeight="1">
      <c r="A205" s="588">
        <v>2</v>
      </c>
      <c r="B205" s="586" t="s">
        <v>692</v>
      </c>
      <c r="C205" s="586" t="s">
        <v>704</v>
      </c>
      <c r="D205" s="407"/>
    </row>
    <row r="206" spans="1:4" ht="24">
      <c r="A206" s="588">
        <v>3</v>
      </c>
      <c r="B206" s="586" t="s">
        <v>693</v>
      </c>
      <c r="C206" s="586" t="s">
        <v>705</v>
      </c>
      <c r="D206" s="408"/>
    </row>
    <row r="207" spans="1:4" ht="12.6">
      <c r="A207" s="588">
        <v>4</v>
      </c>
      <c r="B207" s="586" t="s">
        <v>694</v>
      </c>
      <c r="C207" s="586" t="s">
        <v>706</v>
      </c>
      <c r="D207" s="408"/>
    </row>
    <row r="208" spans="1:4" ht="24">
      <c r="A208" s="588">
        <v>5</v>
      </c>
      <c r="B208" s="586" t="s">
        <v>695</v>
      </c>
      <c r="C208" s="586" t="s">
        <v>707</v>
      </c>
    </row>
    <row r="209" spans="1:3" ht="24.45" customHeight="1">
      <c r="A209" s="588">
        <v>6</v>
      </c>
      <c r="B209" s="586" t="s">
        <v>696</v>
      </c>
      <c r="C209" s="586" t="s">
        <v>708</v>
      </c>
    </row>
    <row r="210" spans="1:3" ht="24">
      <c r="A210" s="588">
        <v>7</v>
      </c>
      <c r="B210" s="586" t="s">
        <v>697</v>
      </c>
      <c r="C210" s="586" t="s">
        <v>709</v>
      </c>
    </row>
    <row r="211" spans="1:3">
      <c r="A211" s="588">
        <v>7.1</v>
      </c>
      <c r="B211" s="590" t="s">
        <v>698</v>
      </c>
      <c r="C211" s="586" t="s">
        <v>710</v>
      </c>
    </row>
    <row r="212" spans="1:3">
      <c r="A212" s="588">
        <v>7.2</v>
      </c>
      <c r="B212" s="590" t="s">
        <v>699</v>
      </c>
      <c r="C212" s="586" t="s">
        <v>711</v>
      </c>
    </row>
    <row r="213" spans="1:3">
      <c r="A213" s="588">
        <v>7.3</v>
      </c>
      <c r="B213" s="589" t="s">
        <v>700</v>
      </c>
      <c r="C213" s="586" t="s">
        <v>712</v>
      </c>
    </row>
    <row r="214" spans="1:3" ht="39.450000000000003" customHeight="1">
      <c r="A214" s="588">
        <v>8</v>
      </c>
      <c r="B214" s="586" t="s">
        <v>701</v>
      </c>
      <c r="C214" s="586" t="s">
        <v>713</v>
      </c>
    </row>
    <row r="215" spans="1:3">
      <c r="A215" s="588">
        <v>9</v>
      </c>
      <c r="B215" s="586" t="s">
        <v>702</v>
      </c>
      <c r="C215" s="586" t="s">
        <v>714</v>
      </c>
    </row>
    <row r="216" spans="1:3">
      <c r="A216" s="626">
        <v>10.1</v>
      </c>
      <c r="B216" s="627" t="s">
        <v>724</v>
      </c>
      <c r="C216" s="619" t="s">
        <v>725</v>
      </c>
    </row>
    <row r="217" spans="1:3">
      <c r="A217" s="982"/>
      <c r="B217" s="628" t="s">
        <v>912</v>
      </c>
      <c r="C217" s="586" t="s">
        <v>920</v>
      </c>
    </row>
    <row r="218" spans="1:3">
      <c r="A218" s="982"/>
      <c r="B218" s="587" t="s">
        <v>572</v>
      </c>
      <c r="C218" s="586" t="s">
        <v>919</v>
      </c>
    </row>
    <row r="219" spans="1:3">
      <c r="A219" s="982"/>
      <c r="B219" s="587" t="s">
        <v>911</v>
      </c>
      <c r="C219" s="586" t="s">
        <v>918</v>
      </c>
    </row>
    <row r="220" spans="1:3">
      <c r="A220" s="982"/>
      <c r="B220" s="587" t="s">
        <v>716</v>
      </c>
      <c r="C220" s="586" t="s">
        <v>917</v>
      </c>
    </row>
    <row r="221" spans="1:3" ht="24">
      <c r="A221" s="982"/>
      <c r="B221" s="587" t="s">
        <v>721</v>
      </c>
      <c r="C221" s="587" t="s">
        <v>916</v>
      </c>
    </row>
    <row r="222" spans="1:3" ht="36">
      <c r="A222" s="982"/>
      <c r="B222" s="587" t="s">
        <v>720</v>
      </c>
      <c r="C222" s="586" t="s">
        <v>915</v>
      </c>
    </row>
    <row r="223" spans="1:3">
      <c r="A223" s="982"/>
      <c r="B223" s="587" t="s">
        <v>723</v>
      </c>
      <c r="C223" s="586" t="s">
        <v>914</v>
      </c>
    </row>
    <row r="224" spans="1:3" ht="24">
      <c r="A224" s="982"/>
      <c r="B224" s="587" t="s">
        <v>717</v>
      </c>
      <c r="C224" s="586" t="s">
        <v>913</v>
      </c>
    </row>
    <row r="225" spans="1:3" ht="12.6">
      <c r="A225" s="620"/>
      <c r="B225" s="621"/>
      <c r="C225" s="622"/>
    </row>
    <row r="226" spans="1:3" ht="12.6">
      <c r="A226" s="620"/>
      <c r="B226" s="622"/>
      <c r="C226" s="622"/>
    </row>
    <row r="227" spans="1:3" ht="12.6">
      <c r="A227" s="620"/>
      <c r="B227" s="622"/>
      <c r="C227" s="622"/>
    </row>
    <row r="228" spans="1:3" ht="12.6">
      <c r="A228" s="620"/>
      <c r="B228" s="623"/>
      <c r="C228" s="622"/>
    </row>
    <row r="229" spans="1:3">
      <c r="A229" s="974"/>
      <c r="B229" s="624"/>
      <c r="C229" s="622"/>
    </row>
    <row r="230" spans="1:3">
      <c r="A230" s="974"/>
      <c r="B230" s="624"/>
      <c r="C230" s="622"/>
    </row>
    <row r="231" spans="1:3">
      <c r="A231" s="974"/>
      <c r="B231" s="624"/>
      <c r="C231" s="622"/>
    </row>
    <row r="232" spans="1:3">
      <c r="A232" s="974"/>
      <c r="B232" s="624"/>
      <c r="C232" s="625"/>
    </row>
    <row r="233" spans="1:3" ht="40.5" customHeight="1">
      <c r="A233" s="974"/>
      <c r="B233" s="624"/>
      <c r="C233" s="622"/>
    </row>
    <row r="234" spans="1:3" ht="24" customHeight="1">
      <c r="A234" s="974"/>
      <c r="B234" s="624"/>
      <c r="C234" s="622"/>
    </row>
    <row r="235" spans="1:3">
      <c r="A235" s="974"/>
      <c r="B235" s="624"/>
      <c r="C235" s="622"/>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7"/>
  <sheetViews>
    <sheetView zoomScale="80" zoomScaleNormal="80" workbookViewId="0">
      <selection activeCell="F29" sqref="F29"/>
    </sheetView>
  </sheetViews>
  <sheetFormatPr defaultRowHeight="14.4"/>
  <cols>
    <col min="2" max="2" width="66.6640625" customWidth="1"/>
    <col min="3" max="8" width="17.77734375" customWidth="1"/>
  </cols>
  <sheetData>
    <row r="1" spans="1:8">
      <c r="A1" s="13" t="s">
        <v>108</v>
      </c>
      <c r="B1" s="310" t="str">
        <f>Info!C2</f>
        <v>კრედო</v>
      </c>
      <c r="C1" s="12"/>
      <c r="D1" s="1"/>
      <c r="E1" s="1"/>
      <c r="F1" s="1"/>
      <c r="G1" s="1"/>
    </row>
    <row r="2" spans="1:8">
      <c r="A2" s="13" t="s">
        <v>109</v>
      </c>
      <c r="B2" s="346">
        <f>'1. key ratios'!B2</f>
        <v>45199</v>
      </c>
      <c r="C2" s="12"/>
      <c r="D2" s="1"/>
      <c r="E2" s="1"/>
      <c r="F2" s="1"/>
      <c r="G2" s="1"/>
    </row>
    <row r="3" spans="1:8">
      <c r="A3" s="13"/>
      <c r="B3" s="12"/>
      <c r="C3" s="12"/>
      <c r="D3" s="1"/>
      <c r="E3" s="1"/>
      <c r="F3" s="1"/>
      <c r="G3" s="1"/>
    </row>
    <row r="4" spans="1:8">
      <c r="A4" s="828" t="s">
        <v>25</v>
      </c>
      <c r="B4" s="826" t="s">
        <v>166</v>
      </c>
      <c r="C4" s="821" t="s">
        <v>114</v>
      </c>
      <c r="D4" s="821"/>
      <c r="E4" s="821"/>
      <c r="F4" s="821" t="s">
        <v>115</v>
      </c>
      <c r="G4" s="821"/>
      <c r="H4" s="822"/>
    </row>
    <row r="5" spans="1:8" ht="15.45" customHeight="1">
      <c r="A5" s="829"/>
      <c r="B5" s="827"/>
      <c r="C5" s="438" t="s">
        <v>26</v>
      </c>
      <c r="D5" s="438" t="s">
        <v>88</v>
      </c>
      <c r="E5" s="438" t="s">
        <v>66</v>
      </c>
      <c r="F5" s="438" t="s">
        <v>26</v>
      </c>
      <c r="G5" s="438" t="s">
        <v>88</v>
      </c>
      <c r="H5" s="438" t="s">
        <v>66</v>
      </c>
    </row>
    <row r="6" spans="1:8">
      <c r="A6" s="467">
        <v>1</v>
      </c>
      <c r="B6" s="439" t="s">
        <v>779</v>
      </c>
      <c r="C6" s="707">
        <f>SUM(C7:C12)</f>
        <v>326313215</v>
      </c>
      <c r="D6" s="707">
        <f>SUM(D7:D12)</f>
        <v>13395097.739995718</v>
      </c>
      <c r="E6" s="708">
        <f>C6+D6</f>
        <v>339708312.73999572</v>
      </c>
      <c r="F6" s="707">
        <f>SUM(F7:F12)</f>
        <v>300914537</v>
      </c>
      <c r="G6" s="707">
        <f>SUM(G7:G12)</f>
        <v>8025051</v>
      </c>
      <c r="H6" s="708">
        <f>F6+G6</f>
        <v>308939588</v>
      </c>
    </row>
    <row r="7" spans="1:8">
      <c r="A7" s="467">
        <v>1.1000000000000001</v>
      </c>
      <c r="B7" s="440" t="s">
        <v>733</v>
      </c>
      <c r="C7" s="707"/>
      <c r="D7" s="707"/>
      <c r="E7" s="708">
        <f t="shared" ref="E7:E45" si="0">C7+D7</f>
        <v>0</v>
      </c>
      <c r="F7" s="707"/>
      <c r="G7" s="707"/>
      <c r="H7" s="708">
        <f t="shared" ref="H7:H45" si="1">F7+G7</f>
        <v>0</v>
      </c>
    </row>
    <row r="8" spans="1:8" ht="20.399999999999999">
      <c r="A8" s="467">
        <v>1.2</v>
      </c>
      <c r="B8" s="440" t="s">
        <v>780</v>
      </c>
      <c r="C8" s="707"/>
      <c r="D8" s="707"/>
      <c r="E8" s="708">
        <f t="shared" si="0"/>
        <v>0</v>
      </c>
      <c r="F8" s="707"/>
      <c r="G8" s="707"/>
      <c r="H8" s="708">
        <f t="shared" si="1"/>
        <v>0</v>
      </c>
    </row>
    <row r="9" spans="1:8" ht="21.45" customHeight="1">
      <c r="A9" s="467">
        <v>1.3</v>
      </c>
      <c r="B9" s="430" t="s">
        <v>781</v>
      </c>
      <c r="C9" s="707"/>
      <c r="D9" s="707"/>
      <c r="E9" s="708">
        <f t="shared" si="0"/>
        <v>0</v>
      </c>
      <c r="F9" s="707"/>
      <c r="G9" s="707"/>
      <c r="H9" s="708">
        <f t="shared" si="1"/>
        <v>0</v>
      </c>
    </row>
    <row r="10" spans="1:8" ht="20.399999999999999">
      <c r="A10" s="467">
        <v>1.4</v>
      </c>
      <c r="B10" s="430" t="s">
        <v>737</v>
      </c>
      <c r="C10" s="707"/>
      <c r="D10" s="707"/>
      <c r="E10" s="708">
        <f t="shared" si="0"/>
        <v>0</v>
      </c>
      <c r="F10" s="707"/>
      <c r="G10" s="707"/>
      <c r="H10" s="708">
        <f t="shared" si="1"/>
        <v>0</v>
      </c>
    </row>
    <row r="11" spans="1:8">
      <c r="A11" s="467">
        <v>1.5</v>
      </c>
      <c r="B11" s="430" t="s">
        <v>740</v>
      </c>
      <c r="C11" s="707">
        <v>326313215</v>
      </c>
      <c r="D11" s="707">
        <v>13395097.739995718</v>
      </c>
      <c r="E11" s="708">
        <f t="shared" si="0"/>
        <v>339708312.73999572</v>
      </c>
      <c r="F11" s="707">
        <v>300914537</v>
      </c>
      <c r="G11" s="707">
        <v>8025051</v>
      </c>
      <c r="H11" s="708">
        <f t="shared" si="1"/>
        <v>308939588</v>
      </c>
    </row>
    <row r="12" spans="1:8">
      <c r="A12" s="467">
        <v>1.6</v>
      </c>
      <c r="B12" s="431" t="s">
        <v>99</v>
      </c>
      <c r="C12" s="707"/>
      <c r="D12" s="707"/>
      <c r="E12" s="708">
        <f t="shared" si="0"/>
        <v>0</v>
      </c>
      <c r="F12" s="707"/>
      <c r="G12" s="707"/>
      <c r="H12" s="708">
        <f t="shared" si="1"/>
        <v>0</v>
      </c>
    </row>
    <row r="13" spans="1:8">
      <c r="A13" s="467">
        <v>2</v>
      </c>
      <c r="B13" s="441" t="s">
        <v>782</v>
      </c>
      <c r="C13" s="707">
        <f>SUM(C14:C17)</f>
        <v>-100580418</v>
      </c>
      <c r="D13" s="707">
        <f>SUM(D14:D17)</f>
        <v>-48856874.560000002</v>
      </c>
      <c r="E13" s="708">
        <f t="shared" si="0"/>
        <v>-149437292.56</v>
      </c>
      <c r="F13" s="707">
        <f>SUM(F14:F17)</f>
        <v>-130324532</v>
      </c>
      <c r="G13" s="707">
        <f>SUM(G14:G17)</f>
        <v>-7313122.219999969</v>
      </c>
      <c r="H13" s="708">
        <f t="shared" si="1"/>
        <v>-137637654.21999997</v>
      </c>
    </row>
    <row r="14" spans="1:8">
      <c r="A14" s="467">
        <v>2.1</v>
      </c>
      <c r="B14" s="430" t="s">
        <v>783</v>
      </c>
      <c r="C14" s="707"/>
      <c r="D14" s="707"/>
      <c r="E14" s="708">
        <f t="shared" si="0"/>
        <v>0</v>
      </c>
      <c r="F14" s="707"/>
      <c r="G14" s="707"/>
      <c r="H14" s="708">
        <f t="shared" si="1"/>
        <v>0</v>
      </c>
    </row>
    <row r="15" spans="1:8" ht="24.45" customHeight="1">
      <c r="A15" s="467">
        <v>2.2000000000000002</v>
      </c>
      <c r="B15" s="430" t="s">
        <v>784</v>
      </c>
      <c r="C15" s="707"/>
      <c r="D15" s="707"/>
      <c r="E15" s="708">
        <f t="shared" si="0"/>
        <v>0</v>
      </c>
      <c r="F15" s="707"/>
      <c r="G15" s="707"/>
      <c r="H15" s="708">
        <f t="shared" si="1"/>
        <v>0</v>
      </c>
    </row>
    <row r="16" spans="1:8" ht="20.55" customHeight="1">
      <c r="A16" s="467">
        <v>2.2999999999999998</v>
      </c>
      <c r="B16" s="430" t="s">
        <v>785</v>
      </c>
      <c r="C16" s="707">
        <v>-100580418</v>
      </c>
      <c r="D16" s="707">
        <v>-48856874.560000002</v>
      </c>
      <c r="E16" s="708">
        <f t="shared" si="0"/>
        <v>-149437292.56</v>
      </c>
      <c r="F16" s="707">
        <v>-130324532</v>
      </c>
      <c r="G16" s="707">
        <v>-7313122.219999969</v>
      </c>
      <c r="H16" s="708">
        <f t="shared" si="1"/>
        <v>-137637654.21999997</v>
      </c>
    </row>
    <row r="17" spans="1:8">
      <c r="A17" s="467">
        <v>2.4</v>
      </c>
      <c r="B17" s="430" t="s">
        <v>786</v>
      </c>
      <c r="C17" s="707"/>
      <c r="D17" s="707"/>
      <c r="E17" s="708">
        <f t="shared" si="0"/>
        <v>0</v>
      </c>
      <c r="F17" s="707"/>
      <c r="G17" s="707"/>
      <c r="H17" s="708">
        <f t="shared" si="1"/>
        <v>0</v>
      </c>
    </row>
    <row r="18" spans="1:8">
      <c r="A18" s="467">
        <v>3</v>
      </c>
      <c r="B18" s="441" t="s">
        <v>787</v>
      </c>
      <c r="C18" s="707"/>
      <c r="D18" s="707"/>
      <c r="E18" s="708">
        <f t="shared" si="0"/>
        <v>0</v>
      </c>
      <c r="F18" s="707"/>
      <c r="G18" s="707"/>
      <c r="H18" s="708">
        <f t="shared" si="1"/>
        <v>0</v>
      </c>
    </row>
    <row r="19" spans="1:8">
      <c r="A19" s="467">
        <v>4</v>
      </c>
      <c r="B19" s="441" t="s">
        <v>788</v>
      </c>
      <c r="C19" s="707">
        <v>36102694.699999996</v>
      </c>
      <c r="D19" s="707">
        <v>4433219.4599999934</v>
      </c>
      <c r="E19" s="708">
        <f t="shared" si="0"/>
        <v>40535914.159999989</v>
      </c>
      <c r="F19" s="707">
        <v>32005364.650000006</v>
      </c>
      <c r="G19" s="707">
        <v>3136498.9800000042</v>
      </c>
      <c r="H19" s="708">
        <f t="shared" si="1"/>
        <v>35141863.63000001</v>
      </c>
    </row>
    <row r="20" spans="1:8">
      <c r="A20" s="467">
        <v>5</v>
      </c>
      <c r="B20" s="441" t="s">
        <v>789</v>
      </c>
      <c r="C20" s="707">
        <v>-11402554.689999999</v>
      </c>
      <c r="D20" s="707">
        <v>-5473295.8899999987</v>
      </c>
      <c r="E20" s="708">
        <f t="shared" si="0"/>
        <v>-16875850.579999998</v>
      </c>
      <c r="F20" s="707">
        <v>-9784866.8499999978</v>
      </c>
      <c r="G20" s="707">
        <v>-2317730.0500000007</v>
      </c>
      <c r="H20" s="708">
        <f t="shared" si="1"/>
        <v>-12102596.899999999</v>
      </c>
    </row>
    <row r="21" spans="1:8" ht="38.549999999999997" customHeight="1">
      <c r="A21" s="467">
        <v>6</v>
      </c>
      <c r="B21" s="441" t="s">
        <v>790</v>
      </c>
      <c r="C21" s="707"/>
      <c r="D21" s="707"/>
      <c r="E21" s="708">
        <f t="shared" si="0"/>
        <v>0</v>
      </c>
      <c r="F21" s="707"/>
      <c r="G21" s="707"/>
      <c r="H21" s="708">
        <f t="shared" si="1"/>
        <v>0</v>
      </c>
    </row>
    <row r="22" spans="1:8" ht="27.45" customHeight="1">
      <c r="A22" s="467">
        <v>7</v>
      </c>
      <c r="B22" s="441" t="s">
        <v>791</v>
      </c>
      <c r="C22" s="707"/>
      <c r="D22" s="707"/>
      <c r="E22" s="708">
        <f t="shared" si="0"/>
        <v>0</v>
      </c>
      <c r="F22" s="707"/>
      <c r="G22" s="707"/>
      <c r="H22" s="708">
        <f t="shared" si="1"/>
        <v>0</v>
      </c>
    </row>
    <row r="23" spans="1:8" ht="37.049999999999997" customHeight="1">
      <c r="A23" s="467">
        <v>8</v>
      </c>
      <c r="B23" s="442" t="s">
        <v>792</v>
      </c>
      <c r="C23" s="707"/>
      <c r="D23" s="707"/>
      <c r="E23" s="708">
        <f t="shared" si="0"/>
        <v>0</v>
      </c>
      <c r="F23" s="707"/>
      <c r="G23" s="707"/>
      <c r="H23" s="708">
        <f t="shared" si="1"/>
        <v>0</v>
      </c>
    </row>
    <row r="24" spans="1:8" ht="34.5" customHeight="1">
      <c r="A24" s="467">
        <v>9</v>
      </c>
      <c r="B24" s="442" t="s">
        <v>793</v>
      </c>
      <c r="C24" s="707">
        <v>-13806196.809999995</v>
      </c>
      <c r="D24" s="707"/>
      <c r="E24" s="708">
        <f t="shared" si="0"/>
        <v>-13806196.809999995</v>
      </c>
      <c r="F24" s="707">
        <v>-14582352.279999996</v>
      </c>
      <c r="G24" s="707"/>
      <c r="H24" s="708">
        <f t="shared" si="1"/>
        <v>-14582352.279999996</v>
      </c>
    </row>
    <row r="25" spans="1:8">
      <c r="A25" s="467">
        <v>10</v>
      </c>
      <c r="B25" s="441" t="s">
        <v>794</v>
      </c>
      <c r="C25" s="707">
        <v>2373783.4599999809</v>
      </c>
      <c r="D25" s="707"/>
      <c r="E25" s="708">
        <f t="shared" si="0"/>
        <v>2373783.4599999809</v>
      </c>
      <c r="F25" s="707">
        <v>9463813.1400000658</v>
      </c>
      <c r="G25" s="707"/>
      <c r="H25" s="708">
        <f t="shared" si="1"/>
        <v>9463813.1400000658</v>
      </c>
    </row>
    <row r="26" spans="1:8" ht="27" customHeight="1">
      <c r="A26" s="467">
        <v>11</v>
      </c>
      <c r="B26" s="443" t="s">
        <v>795</v>
      </c>
      <c r="C26" s="707">
        <v>151205.70000000001</v>
      </c>
      <c r="D26" s="707"/>
      <c r="E26" s="708">
        <f t="shared" si="0"/>
        <v>151205.70000000001</v>
      </c>
      <c r="F26" s="707">
        <v>16472.939999999988</v>
      </c>
      <c r="G26" s="707"/>
      <c r="H26" s="708">
        <f t="shared" si="1"/>
        <v>16472.939999999988</v>
      </c>
    </row>
    <row r="27" spans="1:8">
      <c r="A27" s="467">
        <v>12</v>
      </c>
      <c r="B27" s="441" t="s">
        <v>796</v>
      </c>
      <c r="C27" s="707">
        <v>4504489.7899999991</v>
      </c>
      <c r="D27" s="707"/>
      <c r="E27" s="708">
        <f t="shared" si="0"/>
        <v>4504489.7899999991</v>
      </c>
      <c r="F27" s="707">
        <v>3992364.3300000005</v>
      </c>
      <c r="G27" s="707"/>
      <c r="H27" s="708">
        <f t="shared" si="1"/>
        <v>3992364.3300000005</v>
      </c>
    </row>
    <row r="28" spans="1:8">
      <c r="A28" s="467">
        <v>13</v>
      </c>
      <c r="B28" s="444" t="s">
        <v>797</v>
      </c>
      <c r="C28" s="707">
        <v>-15973358.530000001</v>
      </c>
      <c r="D28" s="707"/>
      <c r="E28" s="708">
        <f t="shared" si="0"/>
        <v>-15973358.530000001</v>
      </c>
      <c r="F28" s="707">
        <v>-16700565.639999999</v>
      </c>
      <c r="G28" s="707"/>
      <c r="H28" s="708">
        <f t="shared" si="1"/>
        <v>-16700565.639999999</v>
      </c>
    </row>
    <row r="29" spans="1:8">
      <c r="A29" s="467">
        <v>14</v>
      </c>
      <c r="B29" s="445" t="s">
        <v>798</v>
      </c>
      <c r="C29" s="707">
        <f>SUM(C30:C31)</f>
        <v>-106727469.72999994</v>
      </c>
      <c r="D29" s="707">
        <f>SUM(D30:D31)</f>
        <v>0</v>
      </c>
      <c r="E29" s="708">
        <f t="shared" si="0"/>
        <v>-106727469.72999994</v>
      </c>
      <c r="F29" s="707">
        <f>SUM(F30:F31)</f>
        <v>-89886036.820000038</v>
      </c>
      <c r="G29" s="707">
        <f>SUM(G30:G31)</f>
        <v>0</v>
      </c>
      <c r="H29" s="708">
        <f t="shared" si="1"/>
        <v>-89886036.820000038</v>
      </c>
    </row>
    <row r="30" spans="1:8">
      <c r="A30" s="467">
        <v>14.1</v>
      </c>
      <c r="B30" s="422" t="s">
        <v>799</v>
      </c>
      <c r="C30" s="707">
        <v>-100646139.00999995</v>
      </c>
      <c r="D30" s="707"/>
      <c r="E30" s="708">
        <f t="shared" si="0"/>
        <v>-100646139.00999995</v>
      </c>
      <c r="F30" s="707">
        <v>-83247409.820000038</v>
      </c>
      <c r="G30" s="707"/>
      <c r="H30" s="708">
        <f t="shared" si="1"/>
        <v>-83247409.820000038</v>
      </c>
    </row>
    <row r="31" spans="1:8">
      <c r="A31" s="467">
        <v>14.2</v>
      </c>
      <c r="B31" s="422" t="s">
        <v>800</v>
      </c>
      <c r="C31" s="707">
        <v>-6081330.7200000007</v>
      </c>
      <c r="D31" s="707"/>
      <c r="E31" s="708">
        <f t="shared" si="0"/>
        <v>-6081330.7200000007</v>
      </c>
      <c r="F31" s="707">
        <v>-6638627</v>
      </c>
      <c r="G31" s="707"/>
      <c r="H31" s="708">
        <f t="shared" si="1"/>
        <v>-6638627</v>
      </c>
    </row>
    <row r="32" spans="1:8">
      <c r="A32" s="467">
        <v>15</v>
      </c>
      <c r="B32" s="446" t="s">
        <v>801</v>
      </c>
      <c r="C32" s="707">
        <v>-13609194.190000001</v>
      </c>
      <c r="D32" s="707"/>
      <c r="E32" s="708">
        <f t="shared" si="0"/>
        <v>-13609194.190000001</v>
      </c>
      <c r="F32" s="707">
        <v>-13874319.52</v>
      </c>
      <c r="G32" s="707"/>
      <c r="H32" s="708">
        <f t="shared" si="1"/>
        <v>-13874319.52</v>
      </c>
    </row>
    <row r="33" spans="1:8" ht="22.5" customHeight="1">
      <c r="A33" s="467">
        <v>16</v>
      </c>
      <c r="B33" s="418" t="s">
        <v>802</v>
      </c>
      <c r="C33" s="707"/>
      <c r="D33" s="707"/>
      <c r="E33" s="708">
        <f t="shared" si="0"/>
        <v>0</v>
      </c>
      <c r="F33" s="707"/>
      <c r="G33" s="707"/>
      <c r="H33" s="708">
        <f t="shared" si="1"/>
        <v>0</v>
      </c>
    </row>
    <row r="34" spans="1:8">
      <c r="A34" s="467">
        <v>17</v>
      </c>
      <c r="B34" s="441" t="s">
        <v>803</v>
      </c>
      <c r="C34" s="707">
        <f>SUM(C35:C36)</f>
        <v>0</v>
      </c>
      <c r="D34" s="707">
        <f>SUM(D35:D36)</f>
        <v>0</v>
      </c>
      <c r="E34" s="708">
        <f t="shared" si="0"/>
        <v>0</v>
      </c>
      <c r="F34" s="707">
        <f>SUM(F35:F36)</f>
        <v>0</v>
      </c>
      <c r="G34" s="707">
        <f>SUM(G35:G36)</f>
        <v>0</v>
      </c>
      <c r="H34" s="708">
        <f t="shared" si="1"/>
        <v>0</v>
      </c>
    </row>
    <row r="35" spans="1:8">
      <c r="A35" s="467">
        <v>17.100000000000001</v>
      </c>
      <c r="B35" s="447" t="s">
        <v>804</v>
      </c>
      <c r="C35" s="707"/>
      <c r="D35" s="707"/>
      <c r="E35" s="708">
        <f t="shared" si="0"/>
        <v>0</v>
      </c>
      <c r="F35" s="707"/>
      <c r="G35" s="707"/>
      <c r="H35" s="708">
        <f t="shared" si="1"/>
        <v>0</v>
      </c>
    </row>
    <row r="36" spans="1:8">
      <c r="A36" s="467">
        <v>17.2</v>
      </c>
      <c r="B36" s="422" t="s">
        <v>805</v>
      </c>
      <c r="C36" s="707"/>
      <c r="D36" s="707"/>
      <c r="E36" s="708">
        <f t="shared" si="0"/>
        <v>0</v>
      </c>
      <c r="F36" s="707"/>
      <c r="G36" s="707"/>
      <c r="H36" s="708">
        <f t="shared" si="1"/>
        <v>0</v>
      </c>
    </row>
    <row r="37" spans="1:8" ht="41.55" customHeight="1">
      <c r="A37" s="467">
        <v>18</v>
      </c>
      <c r="B37" s="448" t="s">
        <v>806</v>
      </c>
      <c r="C37" s="707">
        <f>SUM(C38:C39)</f>
        <v>-39457599</v>
      </c>
      <c r="D37" s="707">
        <f>SUM(D38:D39)</f>
        <v>-131500.79000007361</v>
      </c>
      <c r="E37" s="708">
        <f t="shared" si="0"/>
        <v>-39589099.790000074</v>
      </c>
      <c r="F37" s="707">
        <f>SUM(F38:F39)</f>
        <v>-36583235.640000001</v>
      </c>
      <c r="G37" s="707">
        <f>SUM(G38:G39)</f>
        <v>2975122.0999999996</v>
      </c>
      <c r="H37" s="708">
        <f t="shared" si="1"/>
        <v>-33608113.539999999</v>
      </c>
    </row>
    <row r="38" spans="1:8" ht="20.399999999999999">
      <c r="A38" s="467">
        <v>18.100000000000001</v>
      </c>
      <c r="B38" s="430" t="s">
        <v>807</v>
      </c>
      <c r="C38" s="707"/>
      <c r="D38" s="707"/>
      <c r="E38" s="708">
        <f t="shared" si="0"/>
        <v>0</v>
      </c>
      <c r="F38" s="707"/>
      <c r="G38" s="707"/>
      <c r="H38" s="708">
        <f t="shared" si="1"/>
        <v>0</v>
      </c>
    </row>
    <row r="39" spans="1:8">
      <c r="A39" s="467">
        <v>18.2</v>
      </c>
      <c r="B39" s="430" t="s">
        <v>808</v>
      </c>
      <c r="C39" s="707">
        <v>-39457599</v>
      </c>
      <c r="D39" s="707">
        <v>-131500.79000007361</v>
      </c>
      <c r="E39" s="708">
        <f t="shared" si="0"/>
        <v>-39589099.790000074</v>
      </c>
      <c r="F39" s="707">
        <v>-36583235.640000001</v>
      </c>
      <c r="G39" s="707">
        <v>2975122.0999999996</v>
      </c>
      <c r="H39" s="708">
        <f t="shared" si="1"/>
        <v>-33608113.539999999</v>
      </c>
    </row>
    <row r="40" spans="1:8" ht="24.45" customHeight="1">
      <c r="A40" s="467">
        <v>19</v>
      </c>
      <c r="B40" s="448" t="s">
        <v>809</v>
      </c>
      <c r="C40" s="707"/>
      <c r="D40" s="707"/>
      <c r="E40" s="708">
        <f t="shared" si="0"/>
        <v>0</v>
      </c>
      <c r="F40" s="707"/>
      <c r="G40" s="707"/>
      <c r="H40" s="708">
        <f t="shared" si="1"/>
        <v>0</v>
      </c>
    </row>
    <row r="41" spans="1:8" ht="25.05" customHeight="1">
      <c r="A41" s="467">
        <v>20</v>
      </c>
      <c r="B41" s="448" t="s">
        <v>810</v>
      </c>
      <c r="C41" s="707">
        <v>-969868.16</v>
      </c>
      <c r="D41" s="707"/>
      <c r="E41" s="708">
        <f t="shared" si="0"/>
        <v>-969868.16</v>
      </c>
      <c r="F41" s="707">
        <v>-1266222.43</v>
      </c>
      <c r="G41" s="707"/>
      <c r="H41" s="708">
        <f t="shared" si="1"/>
        <v>-1266222.43</v>
      </c>
    </row>
    <row r="42" spans="1:8" ht="33" customHeight="1">
      <c r="A42" s="467">
        <v>21</v>
      </c>
      <c r="B42" s="449" t="s">
        <v>811</v>
      </c>
      <c r="C42" s="707"/>
      <c r="D42" s="707"/>
      <c r="E42" s="708">
        <f t="shared" si="0"/>
        <v>0</v>
      </c>
      <c r="F42" s="707"/>
      <c r="G42" s="707"/>
      <c r="H42" s="708">
        <f t="shared" si="1"/>
        <v>0</v>
      </c>
    </row>
    <row r="43" spans="1:8">
      <c r="A43" s="467">
        <v>22</v>
      </c>
      <c r="B43" s="450" t="s">
        <v>812</v>
      </c>
      <c r="C43" s="707">
        <f>SUM(C6,C13,C18,C19,C20,C21,C22,C23,C24,C25,C26,C27,C28,C29,C32,C33,C34,C37,C40,C41,C42)</f>
        <v>66918729.540000007</v>
      </c>
      <c r="D43" s="707">
        <f>SUM(D6,D13,D18,D19,D20,D21,D22,D23,D24,D25,D26,D27,D28,D29,D32,D33,D34,D37,D40,D41,D42)</f>
        <v>-36633354.040004365</v>
      </c>
      <c r="E43" s="708">
        <f t="shared" si="0"/>
        <v>30285375.499995641</v>
      </c>
      <c r="F43" s="707">
        <f>SUM(F6,F13,F18,F19,F20,F21,F22,F23,F24,F25,F26,F27,F28,F29,F32,F33,F34,F37,F40,F41,F42)</f>
        <v>33390420.880000077</v>
      </c>
      <c r="G43" s="707">
        <f>SUM(G6,G13,G18,G19,G20,G21,G22,G23,G24,G25,G26,G27,G28,G29,G32,G33,G34,G37,G40,G41,G42)</f>
        <v>4505819.810000034</v>
      </c>
      <c r="H43" s="708">
        <f t="shared" si="1"/>
        <v>37896240.690000109</v>
      </c>
    </row>
    <row r="44" spans="1:8">
      <c r="A44" s="467">
        <v>23</v>
      </c>
      <c r="B44" s="450" t="s">
        <v>813</v>
      </c>
      <c r="C44" s="707">
        <v>3744059.14</v>
      </c>
      <c r="D44" s="707"/>
      <c r="E44" s="708">
        <f t="shared" si="0"/>
        <v>3744059.14</v>
      </c>
      <c r="F44" s="707">
        <v>5117434.57</v>
      </c>
      <c r="G44" s="707"/>
      <c r="H44" s="708">
        <f t="shared" si="1"/>
        <v>5117434.57</v>
      </c>
    </row>
    <row r="45" spans="1:8">
      <c r="A45" s="467">
        <v>24</v>
      </c>
      <c r="B45" s="450" t="s">
        <v>814</v>
      </c>
      <c r="C45" s="707">
        <f>C43-C44</f>
        <v>63174670.400000006</v>
      </c>
      <c r="D45" s="707">
        <f>D43-D44</f>
        <v>-36633354.040004365</v>
      </c>
      <c r="E45" s="708">
        <f t="shared" si="0"/>
        <v>26541316.359995641</v>
      </c>
      <c r="F45" s="707">
        <f>F43-F44</f>
        <v>28272986.310000077</v>
      </c>
      <c r="G45" s="707">
        <f>G43-G44</f>
        <v>4505819.810000034</v>
      </c>
      <c r="H45" s="708">
        <f t="shared" si="1"/>
        <v>32778806.120000109</v>
      </c>
    </row>
    <row r="46" spans="1:8">
      <c r="E46" s="693"/>
    </row>
    <row r="47" spans="1:8">
      <c r="C47" s="710"/>
      <c r="D47" s="710"/>
      <c r="E47" s="710"/>
    </row>
  </sheetData>
  <mergeCells count="4">
    <mergeCell ref="B4:B5"/>
    <mergeCell ref="C4:E4"/>
    <mergeCell ref="F4:H4"/>
    <mergeCell ref="A4:A5"/>
  </mergeCells>
  <pageMargins left="0.7" right="0.7" top="0.75" bottom="0.75" header="0.3" footer="0.3"/>
  <ignoredErrors>
    <ignoredError sqref="C29 F29" formulaRange="1"/>
    <ignoredError sqref="E29 E34 E37 E43 E4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topLeftCell="A25" zoomScale="80" zoomScaleNormal="80" workbookViewId="0">
      <selection activeCell="F39" sqref="F39:G42"/>
    </sheetView>
  </sheetViews>
  <sheetFormatPr defaultRowHeight="14.4"/>
  <cols>
    <col min="1" max="1" width="8.77734375" style="464"/>
    <col min="2" max="2" width="87.6640625" bestFit="1" customWidth="1"/>
    <col min="3" max="3" width="14.44140625" bestFit="1" customWidth="1"/>
    <col min="4" max="5" width="12.77734375" customWidth="1"/>
    <col min="6" max="6" width="14.44140625" bestFit="1" customWidth="1"/>
    <col min="7" max="8" width="12.77734375" customWidth="1"/>
  </cols>
  <sheetData>
    <row r="1" spans="1:8">
      <c r="A1" s="13" t="s">
        <v>108</v>
      </c>
      <c r="B1" s="310" t="str">
        <f>Info!C2</f>
        <v>კრედო</v>
      </c>
      <c r="C1" s="12"/>
      <c r="D1" s="1"/>
      <c r="E1" s="1"/>
      <c r="F1" s="1"/>
      <c r="G1" s="1"/>
    </row>
    <row r="2" spans="1:8">
      <c r="A2" s="13" t="s">
        <v>109</v>
      </c>
      <c r="B2" s="346">
        <f>'1. key ratios'!B2</f>
        <v>45199</v>
      </c>
      <c r="C2" s="12"/>
      <c r="D2" s="1"/>
      <c r="E2" s="1"/>
      <c r="F2" s="1"/>
      <c r="G2" s="1"/>
    </row>
    <row r="3" spans="1:8">
      <c r="A3" s="13"/>
      <c r="B3" s="12"/>
      <c r="C3" s="12"/>
      <c r="D3" s="1"/>
      <c r="E3" s="1"/>
      <c r="F3" s="1"/>
      <c r="G3" s="1"/>
    </row>
    <row r="4" spans="1:8">
      <c r="A4" s="818" t="s">
        <v>25</v>
      </c>
      <c r="B4" s="830" t="s">
        <v>151</v>
      </c>
      <c r="C4" s="831" t="s">
        <v>114</v>
      </c>
      <c r="D4" s="831"/>
      <c r="E4" s="831"/>
      <c r="F4" s="831" t="s">
        <v>115</v>
      </c>
      <c r="G4" s="831"/>
      <c r="H4" s="832"/>
    </row>
    <row r="5" spans="1:8">
      <c r="A5" s="818"/>
      <c r="B5" s="830"/>
      <c r="C5" s="438" t="s">
        <v>26</v>
      </c>
      <c r="D5" s="438" t="s">
        <v>88</v>
      </c>
      <c r="E5" s="438" t="s">
        <v>66</v>
      </c>
      <c r="F5" s="438" t="s">
        <v>26</v>
      </c>
      <c r="G5" s="438" t="s">
        <v>88</v>
      </c>
      <c r="H5" s="451" t="s">
        <v>66</v>
      </c>
    </row>
    <row r="6" spans="1:8">
      <c r="A6" s="452">
        <v>1</v>
      </c>
      <c r="B6" s="453" t="s">
        <v>815</v>
      </c>
      <c r="C6" s="454"/>
      <c r="D6" s="454"/>
      <c r="E6" s="455">
        <f t="shared" ref="E6:E43" si="0">C6+D6</f>
        <v>0</v>
      </c>
      <c r="F6" s="454"/>
      <c r="G6" s="454"/>
      <c r="H6" s="456">
        <f t="shared" ref="H6:H43" si="1">F6+G6</f>
        <v>0</v>
      </c>
    </row>
    <row r="7" spans="1:8">
      <c r="A7" s="452">
        <v>2</v>
      </c>
      <c r="B7" s="457" t="s">
        <v>177</v>
      </c>
      <c r="C7" s="454"/>
      <c r="D7" s="454"/>
      <c r="E7" s="455">
        <f t="shared" si="0"/>
        <v>0</v>
      </c>
      <c r="F7" s="454"/>
      <c r="G7" s="454"/>
      <c r="H7" s="456">
        <f t="shared" si="1"/>
        <v>0</v>
      </c>
    </row>
    <row r="8" spans="1:8">
      <c r="A8" s="452">
        <v>3</v>
      </c>
      <c r="B8" s="457" t="s">
        <v>179</v>
      </c>
      <c r="C8" s="792">
        <f>C9+C10</f>
        <v>1160116257.55</v>
      </c>
      <c r="D8" s="792">
        <f>D9+D10</f>
        <v>0</v>
      </c>
      <c r="E8" s="455">
        <f t="shared" si="0"/>
        <v>1160116257.55</v>
      </c>
      <c r="F8" s="792">
        <f>F9+F10</f>
        <v>1009930539.97</v>
      </c>
      <c r="G8" s="792">
        <f>G9+G10</f>
        <v>0</v>
      </c>
      <c r="H8" s="456">
        <f t="shared" si="1"/>
        <v>1009930539.97</v>
      </c>
    </row>
    <row r="9" spans="1:8">
      <c r="A9" s="452">
        <v>3.1</v>
      </c>
      <c r="B9" s="458" t="s">
        <v>816</v>
      </c>
      <c r="C9" s="454">
        <v>1159850152.55</v>
      </c>
      <c r="D9" s="454"/>
      <c r="E9" s="455">
        <f t="shared" si="0"/>
        <v>1159850152.55</v>
      </c>
      <c r="F9" s="454">
        <v>1009664434.97</v>
      </c>
      <c r="G9" s="454"/>
      <c r="H9" s="456">
        <f t="shared" si="1"/>
        <v>1009664434.97</v>
      </c>
    </row>
    <row r="10" spans="1:8">
      <c r="A10" s="452">
        <v>3.2</v>
      </c>
      <c r="B10" s="458" t="s">
        <v>817</v>
      </c>
      <c r="C10" s="454">
        <v>266105</v>
      </c>
      <c r="D10" s="454"/>
      <c r="E10" s="455">
        <f t="shared" si="0"/>
        <v>266105</v>
      </c>
      <c r="F10" s="454">
        <v>266105</v>
      </c>
      <c r="G10" s="454"/>
      <c r="H10" s="456">
        <f t="shared" si="1"/>
        <v>266105</v>
      </c>
    </row>
    <row r="11" spans="1:8">
      <c r="A11" s="452">
        <v>4</v>
      </c>
      <c r="B11" s="457" t="s">
        <v>178</v>
      </c>
      <c r="C11" s="454">
        <f>C12+C13</f>
        <v>0</v>
      </c>
      <c r="D11" s="454">
        <f>D12+D13</f>
        <v>0</v>
      </c>
      <c r="E11" s="455">
        <f t="shared" si="0"/>
        <v>0</v>
      </c>
      <c r="F11" s="454">
        <f>F12+F13</f>
        <v>0</v>
      </c>
      <c r="G11" s="454">
        <f>G12+G13</f>
        <v>0</v>
      </c>
      <c r="H11" s="456">
        <f t="shared" si="1"/>
        <v>0</v>
      </c>
    </row>
    <row r="12" spans="1:8">
      <c r="A12" s="452">
        <v>4.0999999999999996</v>
      </c>
      <c r="B12" s="458" t="s">
        <v>818</v>
      </c>
      <c r="C12" s="454"/>
      <c r="D12" s="454"/>
      <c r="E12" s="455">
        <f t="shared" si="0"/>
        <v>0</v>
      </c>
      <c r="F12" s="454"/>
      <c r="G12" s="454"/>
      <c r="H12" s="456">
        <f t="shared" si="1"/>
        <v>0</v>
      </c>
    </row>
    <row r="13" spans="1:8">
      <c r="A13" s="452">
        <v>4.2</v>
      </c>
      <c r="B13" s="458" t="s">
        <v>819</v>
      </c>
      <c r="C13" s="454"/>
      <c r="D13" s="454"/>
      <c r="E13" s="455">
        <f t="shared" si="0"/>
        <v>0</v>
      </c>
      <c r="F13" s="454"/>
      <c r="G13" s="454"/>
      <c r="H13" s="456">
        <f t="shared" si="1"/>
        <v>0</v>
      </c>
    </row>
    <row r="14" spans="1:8">
      <c r="A14" s="452">
        <v>5</v>
      </c>
      <c r="B14" s="459" t="s">
        <v>820</v>
      </c>
      <c r="C14" s="792">
        <f>C15+C16+C17+C23+C24+C25+C26</f>
        <v>1261448891.49</v>
      </c>
      <c r="D14" s="792">
        <f>D15+D16+D17+D23+D24+D25+D26</f>
        <v>1339150</v>
      </c>
      <c r="E14" s="455">
        <f t="shared" si="0"/>
        <v>1262788041.49</v>
      </c>
      <c r="F14" s="792">
        <f>F15+F16+F17+F23+F24+F25+F26</f>
        <v>766903673.24000001</v>
      </c>
      <c r="G14" s="792">
        <f>G15+G16+G17+G23+G24+G25+G26</f>
        <v>2835200</v>
      </c>
      <c r="H14" s="456">
        <f t="shared" si="1"/>
        <v>769738873.24000001</v>
      </c>
    </row>
    <row r="15" spans="1:8">
      <c r="A15" s="452">
        <v>5.0999999999999996</v>
      </c>
      <c r="B15" s="460" t="s">
        <v>821</v>
      </c>
      <c r="C15" s="454">
        <v>15342676.6</v>
      </c>
      <c r="D15" s="454">
        <v>1339150</v>
      </c>
      <c r="E15" s="455">
        <f t="shared" si="0"/>
        <v>16681826.6</v>
      </c>
      <c r="F15" s="454">
        <v>9987885.1099999994</v>
      </c>
      <c r="G15" s="454">
        <v>2835200</v>
      </c>
      <c r="H15" s="456">
        <f t="shared" si="1"/>
        <v>12823085.109999999</v>
      </c>
    </row>
    <row r="16" spans="1:8">
      <c r="A16" s="452">
        <v>5.2</v>
      </c>
      <c r="B16" s="460" t="s">
        <v>822</v>
      </c>
      <c r="C16" s="454">
        <v>5004.78</v>
      </c>
      <c r="D16" s="454"/>
      <c r="E16" s="455">
        <f t="shared" si="0"/>
        <v>5004.78</v>
      </c>
      <c r="F16" s="454">
        <v>45090.78</v>
      </c>
      <c r="G16" s="454"/>
      <c r="H16" s="456">
        <f t="shared" si="1"/>
        <v>45090.78</v>
      </c>
    </row>
    <row r="17" spans="1:8">
      <c r="A17" s="452">
        <v>5.3</v>
      </c>
      <c r="B17" s="460" t="s">
        <v>823</v>
      </c>
      <c r="C17" s="792">
        <f>C18+C19+C20+C21+C22</f>
        <v>1118882710.29</v>
      </c>
      <c r="D17" s="792">
        <f>D18+D19+D20+D21+D22</f>
        <v>0</v>
      </c>
      <c r="E17" s="455">
        <f t="shared" si="0"/>
        <v>1118882710.29</v>
      </c>
      <c r="F17" s="792">
        <f>F18+F19+F20+F21+F22</f>
        <v>700332787.25</v>
      </c>
      <c r="G17" s="792"/>
      <c r="H17" s="456">
        <f t="shared" si="1"/>
        <v>700332787.25</v>
      </c>
    </row>
    <row r="18" spans="1:8">
      <c r="A18" s="452" t="s">
        <v>180</v>
      </c>
      <c r="B18" s="461" t="s">
        <v>824</v>
      </c>
      <c r="C18" s="454">
        <v>819286394.70000005</v>
      </c>
      <c r="D18" s="454"/>
      <c r="E18" s="455">
        <f t="shared" si="0"/>
        <v>819286394.70000005</v>
      </c>
      <c r="F18" s="454">
        <v>496252856.63</v>
      </c>
      <c r="G18" s="454"/>
      <c r="H18" s="456">
        <f t="shared" si="1"/>
        <v>496252856.63</v>
      </c>
    </row>
    <row r="19" spans="1:8">
      <c r="A19" s="452" t="s">
        <v>181</v>
      </c>
      <c r="B19" s="462" t="s">
        <v>825</v>
      </c>
      <c r="C19" s="454">
        <v>150683772.30000001</v>
      </c>
      <c r="D19" s="454"/>
      <c r="E19" s="455">
        <f t="shared" si="0"/>
        <v>150683772.30000001</v>
      </c>
      <c r="F19" s="454">
        <v>118834246.34</v>
      </c>
      <c r="G19" s="454"/>
      <c r="H19" s="456">
        <f t="shared" si="1"/>
        <v>118834246.34</v>
      </c>
    </row>
    <row r="20" spans="1:8">
      <c r="A20" s="452" t="s">
        <v>182</v>
      </c>
      <c r="B20" s="462" t="s">
        <v>826</v>
      </c>
      <c r="C20" s="454"/>
      <c r="D20" s="454"/>
      <c r="E20" s="455">
        <f t="shared" si="0"/>
        <v>0</v>
      </c>
      <c r="F20" s="454"/>
      <c r="G20" s="454"/>
      <c r="H20" s="456">
        <f t="shared" si="1"/>
        <v>0</v>
      </c>
    </row>
    <row r="21" spans="1:8">
      <c r="A21" s="452" t="s">
        <v>183</v>
      </c>
      <c r="B21" s="462" t="s">
        <v>827</v>
      </c>
      <c r="C21" s="454">
        <v>144535860.25999999</v>
      </c>
      <c r="D21" s="454"/>
      <c r="E21" s="455">
        <f t="shared" si="0"/>
        <v>144535860.25999999</v>
      </c>
      <c r="F21" s="454">
        <v>82720082.819999993</v>
      </c>
      <c r="G21" s="454"/>
      <c r="H21" s="456">
        <f t="shared" si="1"/>
        <v>82720082.819999993</v>
      </c>
    </row>
    <row r="22" spans="1:8">
      <c r="A22" s="452" t="s">
        <v>184</v>
      </c>
      <c r="B22" s="462" t="s">
        <v>541</v>
      </c>
      <c r="C22" s="454">
        <v>4376683.03</v>
      </c>
      <c r="D22" s="454"/>
      <c r="E22" s="455">
        <f t="shared" si="0"/>
        <v>4376683.03</v>
      </c>
      <c r="F22" s="454">
        <v>2525601.46</v>
      </c>
      <c r="G22" s="454"/>
      <c r="H22" s="456">
        <f t="shared" si="1"/>
        <v>2525601.46</v>
      </c>
    </row>
    <row r="23" spans="1:8">
      <c r="A23" s="452">
        <v>5.4</v>
      </c>
      <c r="B23" s="460" t="s">
        <v>828</v>
      </c>
      <c r="C23" s="454">
        <v>127218499.81999999</v>
      </c>
      <c r="D23" s="454"/>
      <c r="E23" s="455">
        <f t="shared" si="0"/>
        <v>127218499.81999999</v>
      </c>
      <c r="F23" s="454">
        <v>56537910.100000001</v>
      </c>
      <c r="G23" s="454"/>
      <c r="H23" s="456">
        <f t="shared" si="1"/>
        <v>56537910.100000001</v>
      </c>
    </row>
    <row r="24" spans="1:8">
      <c r="A24" s="452">
        <v>5.5</v>
      </c>
      <c r="B24" s="460" t="s">
        <v>829</v>
      </c>
      <c r="C24" s="454"/>
      <c r="D24" s="454"/>
      <c r="E24" s="455">
        <f t="shared" si="0"/>
        <v>0</v>
      </c>
      <c r="F24" s="454"/>
      <c r="G24" s="454"/>
      <c r="H24" s="456">
        <f t="shared" si="1"/>
        <v>0</v>
      </c>
    </row>
    <row r="25" spans="1:8">
      <c r="A25" s="452">
        <v>5.6</v>
      </c>
      <c r="B25" s="460" t="s">
        <v>830</v>
      </c>
      <c r="C25" s="454"/>
      <c r="D25" s="454"/>
      <c r="E25" s="455">
        <f t="shared" si="0"/>
        <v>0</v>
      </c>
      <c r="F25" s="454"/>
      <c r="G25" s="454"/>
      <c r="H25" s="456">
        <f t="shared" si="1"/>
        <v>0</v>
      </c>
    </row>
    <row r="26" spans="1:8">
      <c r="A26" s="452">
        <v>5.7</v>
      </c>
      <c r="B26" s="460" t="s">
        <v>541</v>
      </c>
      <c r="C26" s="454"/>
      <c r="D26" s="454"/>
      <c r="E26" s="455">
        <f t="shared" si="0"/>
        <v>0</v>
      </c>
      <c r="F26" s="454"/>
      <c r="G26" s="454"/>
      <c r="H26" s="456">
        <f t="shared" si="1"/>
        <v>0</v>
      </c>
    </row>
    <row r="27" spans="1:8">
      <c r="A27" s="452">
        <v>6</v>
      </c>
      <c r="B27" s="459" t="s">
        <v>831</v>
      </c>
      <c r="C27" s="454">
        <v>34603677.349999994</v>
      </c>
      <c r="D27" s="454">
        <v>13235071.27</v>
      </c>
      <c r="E27" s="455">
        <f t="shared" si="0"/>
        <v>47838748.61999999</v>
      </c>
      <c r="F27" s="454">
        <v>26413055.119999997</v>
      </c>
      <c r="G27" s="454">
        <v>17159283.68</v>
      </c>
      <c r="H27" s="456">
        <f t="shared" si="1"/>
        <v>43572338.799999997</v>
      </c>
    </row>
    <row r="28" spans="1:8">
      <c r="A28" s="452">
        <v>7</v>
      </c>
      <c r="B28" s="459" t="s">
        <v>832</v>
      </c>
      <c r="C28" s="454">
        <v>379000</v>
      </c>
      <c r="D28" s="454"/>
      <c r="E28" s="455">
        <f t="shared" si="0"/>
        <v>379000</v>
      </c>
      <c r="F28" s="454">
        <v>305898.5</v>
      </c>
      <c r="G28" s="454"/>
      <c r="H28" s="456">
        <f t="shared" si="1"/>
        <v>305898.5</v>
      </c>
    </row>
    <row r="29" spans="1:8">
      <c r="A29" s="452">
        <v>8</v>
      </c>
      <c r="B29" s="459" t="s">
        <v>833</v>
      </c>
      <c r="C29" s="454"/>
      <c r="D29" s="454"/>
      <c r="E29" s="455">
        <f t="shared" si="0"/>
        <v>0</v>
      </c>
      <c r="F29" s="454"/>
      <c r="G29" s="454"/>
      <c r="H29" s="456">
        <f t="shared" si="1"/>
        <v>0</v>
      </c>
    </row>
    <row r="30" spans="1:8">
      <c r="A30" s="452">
        <v>9</v>
      </c>
      <c r="B30" s="457" t="s">
        <v>185</v>
      </c>
      <c r="C30" s="792">
        <f>C31+C32+C33+C34+C35+C36+C37</f>
        <v>186916086</v>
      </c>
      <c r="D30" s="792">
        <f>D31+D32+D33+D34+D35+D36+D37</f>
        <v>188176902.58000001</v>
      </c>
      <c r="E30" s="455">
        <f t="shared" si="0"/>
        <v>375092988.58000004</v>
      </c>
      <c r="F30" s="792">
        <f>F31+F32+F33+F34+F35+F36+F37</f>
        <v>155589596</v>
      </c>
      <c r="G30" s="792">
        <f>G31+G32+G33+G34+G35+G36+G37</f>
        <v>153188840</v>
      </c>
      <c r="H30" s="456">
        <f t="shared" si="1"/>
        <v>308778436</v>
      </c>
    </row>
    <row r="31" spans="1:8" ht="27.6">
      <c r="A31" s="452">
        <v>9.1</v>
      </c>
      <c r="B31" s="458" t="s">
        <v>834</v>
      </c>
      <c r="C31" s="454"/>
      <c r="D31" s="454">
        <v>187551618.58000001</v>
      </c>
      <c r="E31" s="455">
        <f t="shared" si="0"/>
        <v>187551618.58000001</v>
      </c>
      <c r="F31" s="454">
        <v>2546030</v>
      </c>
      <c r="G31" s="454">
        <v>150637160</v>
      </c>
      <c r="H31" s="456">
        <f t="shared" si="1"/>
        <v>153183190</v>
      </c>
    </row>
    <row r="32" spans="1:8" ht="27.6">
      <c r="A32" s="452">
        <v>9.1999999999999993</v>
      </c>
      <c r="B32" s="458" t="s">
        <v>835</v>
      </c>
      <c r="C32" s="454">
        <v>186916086</v>
      </c>
      <c r="D32" s="454">
        <v>625284</v>
      </c>
      <c r="E32" s="455">
        <f t="shared" si="0"/>
        <v>187541370</v>
      </c>
      <c r="F32" s="454">
        <v>153043566</v>
      </c>
      <c r="G32" s="454">
        <v>2551680</v>
      </c>
      <c r="H32" s="456">
        <f t="shared" si="1"/>
        <v>155595246</v>
      </c>
    </row>
    <row r="33" spans="1:8" ht="27.6">
      <c r="A33" s="452">
        <v>9.3000000000000007</v>
      </c>
      <c r="B33" s="458" t="s">
        <v>836</v>
      </c>
      <c r="C33" s="454"/>
      <c r="D33" s="454"/>
      <c r="E33" s="455">
        <f t="shared" si="0"/>
        <v>0</v>
      </c>
      <c r="F33" s="454"/>
      <c r="G33" s="454"/>
      <c r="H33" s="456">
        <f t="shared" si="1"/>
        <v>0</v>
      </c>
    </row>
    <row r="34" spans="1:8">
      <c r="A34" s="452">
        <v>9.4</v>
      </c>
      <c r="B34" s="458" t="s">
        <v>837</v>
      </c>
      <c r="C34" s="454"/>
      <c r="D34" s="454"/>
      <c r="E34" s="455">
        <f t="shared" si="0"/>
        <v>0</v>
      </c>
      <c r="F34" s="454"/>
      <c r="G34" s="454"/>
      <c r="H34" s="456">
        <f t="shared" si="1"/>
        <v>0</v>
      </c>
    </row>
    <row r="35" spans="1:8">
      <c r="A35" s="452">
        <v>9.5</v>
      </c>
      <c r="B35" s="458" t="s">
        <v>838</v>
      </c>
      <c r="C35" s="454"/>
      <c r="D35" s="454"/>
      <c r="E35" s="455">
        <f t="shared" si="0"/>
        <v>0</v>
      </c>
      <c r="F35" s="454"/>
      <c r="G35" s="454"/>
      <c r="H35" s="456">
        <f t="shared" si="1"/>
        <v>0</v>
      </c>
    </row>
    <row r="36" spans="1:8" ht="27.6">
      <c r="A36" s="452">
        <v>9.6</v>
      </c>
      <c r="B36" s="458" t="s">
        <v>839</v>
      </c>
      <c r="C36" s="454"/>
      <c r="D36" s="454"/>
      <c r="E36" s="455">
        <f t="shared" si="0"/>
        <v>0</v>
      </c>
      <c r="F36" s="454"/>
      <c r="G36" s="454"/>
      <c r="H36" s="456">
        <f t="shared" si="1"/>
        <v>0</v>
      </c>
    </row>
    <row r="37" spans="1:8" ht="27.6">
      <c r="A37" s="452">
        <v>9.6999999999999993</v>
      </c>
      <c r="B37" s="458" t="s">
        <v>840</v>
      </c>
      <c r="C37" s="454"/>
      <c r="D37" s="454"/>
      <c r="E37" s="455">
        <f t="shared" si="0"/>
        <v>0</v>
      </c>
      <c r="F37" s="454"/>
      <c r="G37" s="454"/>
      <c r="H37" s="456">
        <f t="shared" si="1"/>
        <v>0</v>
      </c>
    </row>
    <row r="38" spans="1:8">
      <c r="A38" s="452">
        <v>10</v>
      </c>
      <c r="B38" s="459" t="s">
        <v>841</v>
      </c>
      <c r="C38" s="792">
        <f>C39+C40+C41+C42</f>
        <v>222680716.40000001</v>
      </c>
      <c r="D38" s="792">
        <f>D39+D40+D41+D42</f>
        <v>6414761.5915240003</v>
      </c>
      <c r="E38" s="455">
        <f t="shared" si="0"/>
        <v>229095477.99152401</v>
      </c>
      <c r="F38" s="792">
        <f>F39+F40+F41+F42</f>
        <v>160662690.08129996</v>
      </c>
      <c r="G38" s="792">
        <f>G39+G40+G41+G42</f>
        <v>23478193.267538</v>
      </c>
      <c r="H38" s="456">
        <f t="shared" si="1"/>
        <v>184140883.34883797</v>
      </c>
    </row>
    <row r="39" spans="1:8">
      <c r="A39" s="452">
        <v>10.1</v>
      </c>
      <c r="B39" s="458" t="s">
        <v>842</v>
      </c>
      <c r="C39" s="454">
        <v>10898091.390000001</v>
      </c>
      <c r="D39" s="454">
        <v>378308.42871800001</v>
      </c>
      <c r="E39" s="455">
        <f t="shared" si="0"/>
        <v>11276399.818718001</v>
      </c>
      <c r="F39" s="454">
        <v>13222890.439999979</v>
      </c>
      <c r="G39" s="454">
        <v>122443.11633599999</v>
      </c>
      <c r="H39" s="456">
        <f t="shared" si="1"/>
        <v>13345333.556335978</v>
      </c>
    </row>
    <row r="40" spans="1:8" ht="27.6">
      <c r="A40" s="452">
        <v>10.199999999999999</v>
      </c>
      <c r="B40" s="458" t="s">
        <v>843</v>
      </c>
      <c r="C40" s="454">
        <v>7155314</v>
      </c>
      <c r="D40" s="454">
        <v>151327</v>
      </c>
      <c r="E40" s="455">
        <f t="shared" si="0"/>
        <v>7306641</v>
      </c>
      <c r="F40" s="454">
        <v>7625919</v>
      </c>
      <c r="G40" s="454">
        <v>2892</v>
      </c>
      <c r="H40" s="456">
        <f t="shared" si="1"/>
        <v>7628811</v>
      </c>
    </row>
    <row r="41" spans="1:8" ht="27.6">
      <c r="A41" s="452">
        <v>10.3</v>
      </c>
      <c r="B41" s="458" t="s">
        <v>844</v>
      </c>
      <c r="C41" s="454">
        <v>127587700.01000001</v>
      </c>
      <c r="D41" s="454">
        <v>2887700.1628060001</v>
      </c>
      <c r="E41" s="455">
        <f t="shared" si="0"/>
        <v>130475400.17280601</v>
      </c>
      <c r="F41" s="454">
        <v>86079923.95130001</v>
      </c>
      <c r="G41" s="454">
        <v>15124378.533499001</v>
      </c>
      <c r="H41" s="456">
        <f t="shared" si="1"/>
        <v>101204302.48479901</v>
      </c>
    </row>
    <row r="42" spans="1:8" ht="27.6">
      <c r="A42" s="452">
        <v>10.4</v>
      </c>
      <c r="B42" s="458" t="s">
        <v>845</v>
      </c>
      <c r="C42" s="454">
        <v>77039611</v>
      </c>
      <c r="D42" s="454">
        <v>2997426</v>
      </c>
      <c r="E42" s="455">
        <f t="shared" si="0"/>
        <v>80037037</v>
      </c>
      <c r="F42" s="454">
        <v>53733956.689999983</v>
      </c>
      <c r="G42" s="454">
        <v>8228479.617703001</v>
      </c>
      <c r="H42" s="456">
        <f t="shared" si="1"/>
        <v>61962436.307702981</v>
      </c>
    </row>
    <row r="43" spans="1:8">
      <c r="A43" s="452">
        <v>11</v>
      </c>
      <c r="B43" s="463" t="s">
        <v>186</v>
      </c>
      <c r="C43" s="454"/>
      <c r="D43" s="454"/>
      <c r="E43" s="455">
        <f t="shared" si="0"/>
        <v>0</v>
      </c>
      <c r="F43" s="454"/>
      <c r="G43" s="454"/>
      <c r="H43" s="456">
        <f t="shared" si="1"/>
        <v>0</v>
      </c>
    </row>
    <row r="44" spans="1:8">
      <c r="C44" s="465"/>
      <c r="D44" s="465"/>
      <c r="E44" s="465"/>
      <c r="F44" s="465"/>
      <c r="G44" s="465"/>
      <c r="H44" s="465"/>
    </row>
    <row r="45" spans="1:8">
      <c r="C45" s="465"/>
      <c r="D45" s="465"/>
      <c r="E45" s="465"/>
      <c r="F45" s="465"/>
      <c r="G45" s="465"/>
      <c r="H45" s="465"/>
    </row>
    <row r="46" spans="1:8">
      <c r="C46" s="465"/>
      <c r="D46" s="465"/>
      <c r="E46" s="465"/>
      <c r="F46" s="465"/>
      <c r="G46" s="465"/>
      <c r="H46" s="465"/>
    </row>
    <row r="47" spans="1:8">
      <c r="C47" s="465"/>
      <c r="D47" s="465"/>
      <c r="E47" s="465"/>
      <c r="F47" s="465"/>
      <c r="G47" s="465"/>
      <c r="H47" s="465"/>
    </row>
  </sheetData>
  <mergeCells count="4">
    <mergeCell ref="A4:A5"/>
    <mergeCell ref="B4:B5"/>
    <mergeCell ref="C4:E4"/>
    <mergeCell ref="F4:H4"/>
  </mergeCells>
  <pageMargins left="0.7" right="0.7" top="0.75" bottom="0.75" header="0.3" footer="0.3"/>
  <pageSetup paperSize="9" orientation="portrait" verticalDpi="0" r:id="rId1"/>
  <ignoredErrors>
    <ignoredError sqref="E3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21875" defaultRowHeight="13.8"/>
  <cols>
    <col min="1" max="1" width="9.5546875" style="1" bestFit="1" customWidth="1"/>
    <col min="2" max="2" width="93.5546875" style="1" customWidth="1"/>
    <col min="3" max="4" width="12.77734375" style="1" customWidth="1"/>
    <col min="5" max="7" width="12.33203125" style="8" bestFit="1" customWidth="1"/>
    <col min="8" max="11" width="9.77734375" style="8" customWidth="1"/>
    <col min="12" max="16384" width="9.21875" style="8"/>
  </cols>
  <sheetData>
    <row r="1" spans="1:7">
      <c r="A1" s="13" t="s">
        <v>108</v>
      </c>
      <c r="B1" s="12" t="str">
        <f>Info!C2</f>
        <v>კრედო</v>
      </c>
      <c r="C1" s="12"/>
    </row>
    <row r="2" spans="1:7">
      <c r="A2" s="13" t="s">
        <v>109</v>
      </c>
      <c r="B2" s="346">
        <f>'1. key ratios'!B2</f>
        <v>45199</v>
      </c>
      <c r="C2" s="12"/>
    </row>
    <row r="3" spans="1:7">
      <c r="A3" s="13"/>
      <c r="B3" s="12"/>
      <c r="C3" s="12"/>
    </row>
    <row r="4" spans="1:7" ht="15" customHeight="1" thickBot="1">
      <c r="A4" s="145" t="s">
        <v>253</v>
      </c>
      <c r="B4" s="146" t="s">
        <v>107</v>
      </c>
      <c r="C4" s="147" t="s">
        <v>87</v>
      </c>
    </row>
    <row r="5" spans="1:7" ht="15" customHeight="1">
      <c r="A5" s="143" t="s">
        <v>25</v>
      </c>
      <c r="B5" s="144"/>
      <c r="C5" s="331" t="str">
        <f>INT((MONTH($B$2))/3)&amp;"Q"&amp;"-"&amp;YEAR($B$2)</f>
        <v>3Q-2023</v>
      </c>
      <c r="D5" s="331" t="str">
        <f>IF(INT(MONTH($B$2))=3, "4"&amp;"Q"&amp;"-"&amp;YEAR($B$2)-1, IF(INT(MONTH($B$2))=6, "1"&amp;"Q"&amp;"-"&amp;YEAR($B$2), IF(INT(MONTH($B$2))=9, "2"&amp;"Q"&amp;"-"&amp;YEAR($B$2),IF(INT(MONTH($B$2))=12, "3"&amp;"Q"&amp;"-"&amp;YEAR($B$2), 0))))</f>
        <v>2Q-2023</v>
      </c>
      <c r="E5" s="331" t="str">
        <f>IF(INT(MONTH($B$2))=3, "3"&amp;"Q"&amp;"-"&amp;YEAR($B$2)-1, IF(INT(MONTH($B$2))=6, "4"&amp;"Q"&amp;"-"&amp;YEAR($B$2)-1, IF(INT(MONTH($B$2))=9, "1"&amp;"Q"&amp;"-"&amp;YEAR($B$2),IF(INT(MONTH($B$2))=12, "2"&amp;"Q"&amp;"-"&amp;YEAR($B$2), 0))))</f>
        <v>1Q-2023</v>
      </c>
      <c r="F5" s="331" t="str">
        <f>IF(INT(MONTH($B$2))=3, "2"&amp;"Q"&amp;"-"&amp;YEAR($B$2)-1, IF(INT(MONTH($B$2))=6, "3"&amp;"Q"&amp;"-"&amp;YEAR($B$2)-1, IF(INT(MONTH($B$2))=9, "4"&amp;"Q"&amp;"-"&amp;YEAR($B$2)-1,IF(INT(MONTH($B$2))=12, "1"&amp;"Q"&amp;"-"&amp;YEAR($B$2), 0))))</f>
        <v>4Q-2022</v>
      </c>
      <c r="G5" s="331" t="str">
        <f>IF(INT(MONTH($B$2))=3, "1"&amp;"Q"&amp;"-"&amp;YEAR($B$2)-1, IF(INT(MONTH($B$2))=6, "2"&amp;"Q"&amp;"-"&amp;YEAR($B$2)-1, IF(INT(MONTH($B$2))=9, "3"&amp;"Q"&amp;"-"&amp;YEAR($B$2)-1,IF(INT(MONTH($B$2))=12, "4"&amp;"Q"&amp;"-"&amp;YEAR($B$2)-1, 0))))</f>
        <v>3Q-2022</v>
      </c>
    </row>
    <row r="6" spans="1:7" ht="15" customHeight="1">
      <c r="A6" s="264">
        <v>1</v>
      </c>
      <c r="B6" s="316" t="s">
        <v>112</v>
      </c>
      <c r="C6" s="265">
        <f>C7+C9+C10</f>
        <v>1555571144.3906891</v>
      </c>
      <c r="D6" s="318">
        <f>D7+D9+D10</f>
        <v>1513603449.19348</v>
      </c>
      <c r="E6" s="266">
        <f t="shared" ref="E6:G6" si="0">E7+E9+E10</f>
        <v>1457145175.4120243</v>
      </c>
      <c r="F6" s="265">
        <f t="shared" si="0"/>
        <v>1494733348.371649</v>
      </c>
      <c r="G6" s="319">
        <f t="shared" si="0"/>
        <v>1437590936.8360705</v>
      </c>
    </row>
    <row r="7" spans="1:7" ht="15" customHeight="1">
      <c r="A7" s="264">
        <v>1.1000000000000001</v>
      </c>
      <c r="B7" s="267" t="s">
        <v>436</v>
      </c>
      <c r="C7" s="268">
        <v>1533806374.343189</v>
      </c>
      <c r="D7" s="320">
        <v>1493803420.6659799</v>
      </c>
      <c r="E7" s="268">
        <v>1438725774.1332741</v>
      </c>
      <c r="F7" s="268">
        <v>1475242645.1091492</v>
      </c>
      <c r="G7" s="321">
        <v>1423485487.8448205</v>
      </c>
    </row>
    <row r="8" spans="1:7" ht="27.6">
      <c r="A8" s="264" t="s">
        <v>157</v>
      </c>
      <c r="B8" s="269" t="s">
        <v>250</v>
      </c>
      <c r="C8" s="268"/>
      <c r="D8" s="320"/>
      <c r="E8" s="268"/>
      <c r="F8" s="268"/>
      <c r="G8" s="321"/>
    </row>
    <row r="9" spans="1:7" ht="15" customHeight="1">
      <c r="A9" s="264">
        <v>1.2</v>
      </c>
      <c r="B9" s="267" t="s">
        <v>21</v>
      </c>
      <c r="C9" s="268">
        <v>18026448.327499997</v>
      </c>
      <c r="D9" s="320">
        <v>16187572.1175</v>
      </c>
      <c r="E9" s="268">
        <v>14885125.138750002</v>
      </c>
      <c r="F9" s="268">
        <v>16071362.142499998</v>
      </c>
      <c r="G9" s="321">
        <v>13821928.991249997</v>
      </c>
    </row>
    <row r="10" spans="1:7" ht="15" customHeight="1">
      <c r="A10" s="264">
        <v>1.3</v>
      </c>
      <c r="B10" s="317" t="s">
        <v>74</v>
      </c>
      <c r="C10" s="268">
        <v>3738321.72</v>
      </c>
      <c r="D10" s="320">
        <v>3612456.41</v>
      </c>
      <c r="E10" s="268">
        <v>3534276.14</v>
      </c>
      <c r="F10" s="268">
        <v>3419341.12</v>
      </c>
      <c r="G10" s="321">
        <v>283520</v>
      </c>
    </row>
    <row r="11" spans="1:7" ht="15" customHeight="1">
      <c r="A11" s="264">
        <v>2</v>
      </c>
      <c r="B11" s="316" t="s">
        <v>113</v>
      </c>
      <c r="C11" s="268">
        <v>912850.53000352031</v>
      </c>
      <c r="D11" s="320">
        <v>680131.54784977494</v>
      </c>
      <c r="E11" s="268">
        <v>396149</v>
      </c>
      <c r="F11" s="268">
        <v>531909.49999903305</v>
      </c>
      <c r="G11" s="321">
        <v>2444963.1704999991</v>
      </c>
    </row>
    <row r="12" spans="1:7" ht="15" customHeight="1">
      <c r="A12" s="264">
        <v>3</v>
      </c>
      <c r="B12" s="316" t="s">
        <v>111</v>
      </c>
      <c r="C12" s="268">
        <v>435833167.47878599</v>
      </c>
      <c r="D12" s="320">
        <v>435833167.47878599</v>
      </c>
      <c r="E12" s="268">
        <v>435833167.47878599</v>
      </c>
      <c r="F12" s="268">
        <v>435833167.47878599</v>
      </c>
      <c r="G12" s="321">
        <v>376017293.83332092</v>
      </c>
    </row>
    <row r="13" spans="1:7" ht="15" customHeight="1" thickBot="1">
      <c r="A13" s="76">
        <v>4</v>
      </c>
      <c r="B13" s="324" t="s">
        <v>158</v>
      </c>
      <c r="C13" s="165">
        <f>C6+C11+C12</f>
        <v>1992317162.3994787</v>
      </c>
      <c r="D13" s="322">
        <f>D6+D11+D12</f>
        <v>1950116748.2201159</v>
      </c>
      <c r="E13" s="166">
        <f t="shared" ref="E13:G13" si="1">E6+E11+E12</f>
        <v>1893374491.8908103</v>
      </c>
      <c r="F13" s="165">
        <f t="shared" si="1"/>
        <v>1931098425.3504341</v>
      </c>
      <c r="G13" s="323">
        <f t="shared" si="1"/>
        <v>1816053193.8398914</v>
      </c>
    </row>
    <row r="14" spans="1:7">
      <c r="B14" s="17"/>
    </row>
    <row r="15" spans="1:7" ht="27.6">
      <c r="B15" s="17" t="s">
        <v>437</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5"/>
  <sheetViews>
    <sheetView showGridLines="0" zoomScaleNormal="100" workbookViewId="0">
      <pane xSplit="1" ySplit="4" topLeftCell="B27" activePane="bottomRight" state="frozen"/>
      <selection pane="topRight" activeCell="B1" sqref="B1"/>
      <selection pane="bottomLeft" activeCell="A4" sqref="A4"/>
      <selection pane="bottomRight" activeCell="C7" sqref="C7"/>
    </sheetView>
  </sheetViews>
  <sheetFormatPr defaultRowHeight="14.4"/>
  <cols>
    <col min="1" max="1" width="9.5546875" style="1" bestFit="1" customWidth="1"/>
    <col min="2" max="2" width="58.77734375" style="1" customWidth="1"/>
    <col min="3" max="3" width="40.21875" style="1" bestFit="1" customWidth="1"/>
  </cols>
  <sheetData>
    <row r="1" spans="1:8">
      <c r="A1" s="1" t="s">
        <v>108</v>
      </c>
      <c r="B1" s="1" t="str">
        <f>Info!C2</f>
        <v>კრედო</v>
      </c>
    </row>
    <row r="2" spans="1:8">
      <c r="A2" s="1" t="s">
        <v>109</v>
      </c>
      <c r="B2" s="346">
        <f>'1. key ratios'!B2</f>
        <v>45199</v>
      </c>
    </row>
    <row r="4" spans="1:8" ht="25.5" customHeight="1" thickBot="1">
      <c r="A4" s="159" t="s">
        <v>254</v>
      </c>
      <c r="B4" s="24" t="s">
        <v>91</v>
      </c>
      <c r="C4" s="9"/>
    </row>
    <row r="5" spans="1:8">
      <c r="A5" s="7"/>
      <c r="B5" s="312" t="s">
        <v>92</v>
      </c>
      <c r="C5" s="329" t="s">
        <v>450</v>
      </c>
    </row>
    <row r="6" spans="1:8" ht="15">
      <c r="A6" s="10">
        <v>1</v>
      </c>
      <c r="B6" s="25" t="s">
        <v>956</v>
      </c>
      <c r="C6" s="325" t="s">
        <v>999</v>
      </c>
    </row>
    <row r="7" spans="1:8" ht="15">
      <c r="A7" s="10">
        <v>2</v>
      </c>
      <c r="B7" s="25" t="s">
        <v>957</v>
      </c>
      <c r="C7" s="325" t="s">
        <v>998</v>
      </c>
    </row>
    <row r="8" spans="1:8" ht="15">
      <c r="A8" s="10">
        <v>3</v>
      </c>
      <c r="B8" s="25" t="s">
        <v>958</v>
      </c>
      <c r="C8" s="325" t="s">
        <v>959</v>
      </c>
    </row>
    <row r="9" spans="1:8" ht="15">
      <c r="A9" s="10">
        <v>4</v>
      </c>
      <c r="B9" s="25" t="s">
        <v>960</v>
      </c>
      <c r="C9" s="325" t="s">
        <v>998</v>
      </c>
    </row>
    <row r="10" spans="1:8" ht="15">
      <c r="A10" s="10">
        <v>5</v>
      </c>
      <c r="B10" s="25" t="s">
        <v>961</v>
      </c>
      <c r="C10" s="325" t="s">
        <v>959</v>
      </c>
    </row>
    <row r="11" spans="1:8" ht="15">
      <c r="A11" s="10">
        <v>6</v>
      </c>
      <c r="B11" s="25" t="s">
        <v>962</v>
      </c>
      <c r="C11" s="325" t="s">
        <v>959</v>
      </c>
    </row>
    <row r="12" spans="1:8" ht="15">
      <c r="A12" s="10">
        <v>7</v>
      </c>
      <c r="B12" s="25"/>
      <c r="C12" s="325"/>
      <c r="H12" s="2"/>
    </row>
    <row r="13" spans="1:8" ht="15">
      <c r="A13" s="10">
        <v>8</v>
      </c>
      <c r="B13" s="25"/>
      <c r="C13" s="325"/>
    </row>
    <row r="14" spans="1:8" ht="15">
      <c r="A14" s="10">
        <v>9</v>
      </c>
      <c r="B14" s="25"/>
      <c r="C14" s="325"/>
    </row>
    <row r="15" spans="1:8" ht="15">
      <c r="A15" s="10">
        <v>10</v>
      </c>
      <c r="B15" s="25"/>
      <c r="C15" s="325"/>
    </row>
    <row r="16" spans="1:8" ht="15">
      <c r="A16" s="10"/>
      <c r="B16" s="833"/>
      <c r="C16" s="834"/>
    </row>
    <row r="17" spans="1:3" ht="41.4">
      <c r="A17" s="10"/>
      <c r="B17" s="313" t="s">
        <v>93</v>
      </c>
      <c r="C17" s="330" t="s">
        <v>451</v>
      </c>
    </row>
    <row r="18" spans="1:3">
      <c r="A18" s="10">
        <v>1</v>
      </c>
      <c r="B18" s="21" t="s">
        <v>963</v>
      </c>
      <c r="C18" s="327" t="s">
        <v>964</v>
      </c>
    </row>
    <row r="19" spans="1:3">
      <c r="A19" s="10">
        <v>2</v>
      </c>
      <c r="B19" s="21" t="s">
        <v>965</v>
      </c>
      <c r="C19" s="327" t="s">
        <v>966</v>
      </c>
    </row>
    <row r="20" spans="1:3">
      <c r="A20" s="10">
        <v>3</v>
      </c>
      <c r="B20" s="21" t="s">
        <v>967</v>
      </c>
      <c r="C20" s="327" t="s">
        <v>968</v>
      </c>
    </row>
    <row r="21" spans="1:3">
      <c r="A21" s="10">
        <v>4</v>
      </c>
      <c r="B21" s="21" t="s">
        <v>969</v>
      </c>
      <c r="C21" s="327" t="s">
        <v>970</v>
      </c>
    </row>
    <row r="22" spans="1:3">
      <c r="A22" s="10">
        <v>5</v>
      </c>
      <c r="B22" s="21" t="s">
        <v>971</v>
      </c>
      <c r="C22" s="327" t="s">
        <v>972</v>
      </c>
    </row>
    <row r="23" spans="1:3">
      <c r="A23" s="10">
        <v>6</v>
      </c>
      <c r="B23" s="21" t="s">
        <v>973</v>
      </c>
      <c r="C23" s="327" t="s">
        <v>974</v>
      </c>
    </row>
    <row r="24" spans="1:3" ht="15.75" customHeight="1">
      <c r="A24" s="10"/>
      <c r="B24" s="21"/>
      <c r="C24" s="328"/>
    </row>
    <row r="25" spans="1:3" ht="15.75" customHeight="1">
      <c r="A25" s="10"/>
      <c r="B25" s="21"/>
      <c r="C25" s="22"/>
    </row>
    <row r="26" spans="1:3" ht="30" customHeight="1">
      <c r="A26" s="10"/>
      <c r="B26" s="835" t="s">
        <v>94</v>
      </c>
      <c r="C26" s="836"/>
    </row>
    <row r="27" spans="1:3" ht="15">
      <c r="A27" s="10">
        <v>1</v>
      </c>
      <c r="B27" s="25" t="s">
        <v>975</v>
      </c>
      <c r="C27" s="739">
        <v>0.50868224259580042</v>
      </c>
    </row>
    <row r="28" spans="1:3" ht="15">
      <c r="A28" s="735">
        <v>2</v>
      </c>
      <c r="B28" s="736" t="s">
        <v>976</v>
      </c>
      <c r="C28" s="739">
        <v>8.3653724280704722E-2</v>
      </c>
    </row>
    <row r="29" spans="1:3" ht="15">
      <c r="A29" s="10">
        <v>3</v>
      </c>
      <c r="B29" s="736" t="s">
        <v>977</v>
      </c>
      <c r="C29" s="739">
        <v>8.3653724280704722E-2</v>
      </c>
    </row>
    <row r="30" spans="1:3" ht="15">
      <c r="A30" s="735">
        <v>4</v>
      </c>
      <c r="B30" s="736" t="s">
        <v>978</v>
      </c>
      <c r="C30" s="739">
        <v>7.8921796442604247E-2</v>
      </c>
    </row>
    <row r="31" spans="1:3" ht="28.8">
      <c r="A31" s="10">
        <v>5</v>
      </c>
      <c r="B31" s="736" t="s">
        <v>979</v>
      </c>
      <c r="C31" s="739">
        <v>7.4274367315898426E-2</v>
      </c>
    </row>
    <row r="32" spans="1:3" ht="28.8">
      <c r="A32" s="735">
        <v>6</v>
      </c>
      <c r="B32" s="736" t="s">
        <v>980</v>
      </c>
      <c r="C32" s="739">
        <v>1.5801259030799781E-2</v>
      </c>
    </row>
    <row r="33" spans="1:3" ht="28.8">
      <c r="A33" s="10">
        <v>7</v>
      </c>
      <c r="B33" s="736" t="s">
        <v>981</v>
      </c>
      <c r="C33" s="739">
        <v>0.14871773205458616</v>
      </c>
    </row>
    <row r="34" spans="1:3" ht="15">
      <c r="A34" s="735"/>
      <c r="B34" s="736"/>
      <c r="C34" s="26"/>
    </row>
    <row r="35" spans="1:3" ht="15.75" customHeight="1">
      <c r="A35" s="10"/>
      <c r="B35" s="25"/>
      <c r="C35" s="26"/>
    </row>
    <row r="36" spans="1:3" ht="29.25" customHeight="1">
      <c r="A36" s="10"/>
      <c r="B36" s="835" t="s">
        <v>174</v>
      </c>
      <c r="C36" s="836"/>
    </row>
    <row r="37" spans="1:3" ht="15">
      <c r="A37" s="10">
        <v>1</v>
      </c>
      <c r="B37" s="25" t="s">
        <v>982</v>
      </c>
      <c r="C37" s="740">
        <v>6.0385566840000002E-2</v>
      </c>
    </row>
    <row r="38" spans="1:3" ht="15">
      <c r="A38" s="737">
        <v>2</v>
      </c>
      <c r="B38" s="738" t="s">
        <v>983</v>
      </c>
      <c r="C38" s="741">
        <v>6.0385566840000002E-2</v>
      </c>
    </row>
    <row r="39" spans="1:3" ht="15">
      <c r="A39" s="10">
        <v>3</v>
      </c>
      <c r="B39" s="738" t="s">
        <v>984</v>
      </c>
      <c r="C39" s="741">
        <v>7.6018378560000016E-2</v>
      </c>
    </row>
    <row r="40" spans="1:3" ht="15">
      <c r="A40" s="737">
        <v>4</v>
      </c>
      <c r="B40" s="738" t="s">
        <v>985</v>
      </c>
      <c r="C40" s="741">
        <v>6.4932365020000007E-2</v>
      </c>
    </row>
    <row r="41" spans="1:3" ht="15">
      <c r="A41" s="10">
        <v>5</v>
      </c>
      <c r="B41" s="738" t="s">
        <v>986</v>
      </c>
      <c r="C41" s="741">
        <v>0.12143527274</v>
      </c>
    </row>
    <row r="42" spans="1:3" ht="15">
      <c r="A42" s="737">
        <v>6</v>
      </c>
      <c r="B42" s="738" t="s">
        <v>987</v>
      </c>
      <c r="C42" s="741">
        <v>7.2861163643999999E-2</v>
      </c>
    </row>
    <row r="43" spans="1:3" ht="15">
      <c r="A43" s="10">
        <v>7</v>
      </c>
      <c r="B43" s="738" t="s">
        <v>988</v>
      </c>
      <c r="C43" s="741">
        <v>5.726922202000001E-2</v>
      </c>
    </row>
    <row r="44" spans="1:3" ht="15">
      <c r="A44" s="737">
        <v>8</v>
      </c>
      <c r="B44" s="738" t="s">
        <v>989</v>
      </c>
      <c r="C44" s="741">
        <v>0.11055585160427807</v>
      </c>
    </row>
    <row r="45" spans="1:3" ht="15.6" thickBot="1">
      <c r="A45" s="11"/>
      <c r="B45" s="27"/>
      <c r="C45" s="326"/>
    </row>
  </sheetData>
  <mergeCells count="3">
    <mergeCell ref="B16:C16"/>
    <mergeCell ref="B36:C36"/>
    <mergeCell ref="B26:C26"/>
  </mergeCells>
  <dataValidations count="1">
    <dataValidation type="list" allowBlank="1" showInputMessage="1" showErrorMessage="1" sqref="C7: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80" zoomScaleNormal="80" workbookViewId="0">
      <pane xSplit="1" ySplit="5" topLeftCell="B17" activePane="bottomRight" state="frozen"/>
      <selection activeCell="H6" sqref="H6"/>
      <selection pane="topRight" activeCell="H6" sqref="H6"/>
      <selection pane="bottomLeft" activeCell="H6" sqref="H6"/>
      <selection pane="bottomRight" activeCell="E8" sqref="E8:E36"/>
    </sheetView>
  </sheetViews>
  <sheetFormatPr defaultRowHeight="14.4"/>
  <cols>
    <col min="1" max="1" width="9.5546875" style="1" bestFit="1" customWidth="1"/>
    <col min="2" max="2" width="47.5546875" style="1" customWidth="1"/>
    <col min="3" max="3" width="28" style="1" customWidth="1"/>
    <col min="4" max="4" width="25.6640625" style="1" customWidth="1"/>
    <col min="5" max="5" width="18.77734375" style="1" customWidth="1"/>
    <col min="6" max="6" width="12" bestFit="1" customWidth="1"/>
    <col min="7" max="7" width="12.5546875" bestFit="1" customWidth="1"/>
  </cols>
  <sheetData>
    <row r="1" spans="1:5">
      <c r="A1" s="13" t="s">
        <v>108</v>
      </c>
      <c r="B1" s="12" t="str">
        <f>Info!C2</f>
        <v>კრედო</v>
      </c>
    </row>
    <row r="2" spans="1:5" s="13" customFormat="1" ht="15.75" customHeight="1">
      <c r="A2" s="13" t="s">
        <v>109</v>
      </c>
      <c r="B2" s="346">
        <f>'1. key ratios'!B2</f>
        <v>45199</v>
      </c>
    </row>
    <row r="3" spans="1:5" s="13" customFormat="1" ht="15.75" customHeight="1"/>
    <row r="4" spans="1:5" s="13" customFormat="1" ht="15.75" customHeight="1" thickBot="1">
      <c r="A4" s="160" t="s">
        <v>255</v>
      </c>
      <c r="B4" s="161" t="s">
        <v>168</v>
      </c>
      <c r="C4" s="125"/>
      <c r="D4" s="125"/>
      <c r="E4" s="126" t="s">
        <v>87</v>
      </c>
    </row>
    <row r="5" spans="1:5" s="72" customFormat="1" ht="17.55" customHeight="1">
      <c r="A5" s="242"/>
      <c r="B5" s="243"/>
      <c r="C5" s="124" t="s">
        <v>0</v>
      </c>
      <c r="D5" s="124" t="s">
        <v>1</v>
      </c>
      <c r="E5" s="244" t="s">
        <v>2</v>
      </c>
    </row>
    <row r="6" spans="1:5" ht="14.55" customHeight="1">
      <c r="A6" s="245"/>
      <c r="B6" s="837" t="s">
        <v>144</v>
      </c>
      <c r="C6" s="837" t="s">
        <v>859</v>
      </c>
      <c r="D6" s="838" t="s">
        <v>143</v>
      </c>
      <c r="E6" s="839"/>
    </row>
    <row r="7" spans="1:5" ht="99.6" customHeight="1">
      <c r="A7" s="245"/>
      <c r="B7" s="837"/>
      <c r="C7" s="837"/>
      <c r="D7" s="240" t="s">
        <v>142</v>
      </c>
      <c r="E7" s="241" t="s">
        <v>353</v>
      </c>
    </row>
    <row r="8" spans="1:5" ht="22.5" customHeight="1">
      <c r="A8" s="467">
        <v>1</v>
      </c>
      <c r="B8" s="413" t="s">
        <v>846</v>
      </c>
      <c r="C8" s="793">
        <f>SUM(C9:C11)</f>
        <v>316205564.25</v>
      </c>
      <c r="D8" s="468">
        <f t="shared" ref="D8:E8" si="0">SUM(D9:D11)</f>
        <v>0</v>
      </c>
      <c r="E8" s="468">
        <f t="shared" si="0"/>
        <v>316205564.25</v>
      </c>
    </row>
    <row r="9" spans="1:5">
      <c r="A9" s="467">
        <v>1.1000000000000001</v>
      </c>
      <c r="B9" s="414" t="s">
        <v>96</v>
      </c>
      <c r="C9" s="468">
        <v>81533840.479999989</v>
      </c>
      <c r="D9" s="468"/>
      <c r="E9" s="468">
        <f>C9-D9</f>
        <v>81533840.479999989</v>
      </c>
    </row>
    <row r="10" spans="1:5">
      <c r="A10" s="467">
        <v>1.2</v>
      </c>
      <c r="B10" s="414" t="s">
        <v>97</v>
      </c>
      <c r="C10" s="468">
        <v>126302154.88</v>
      </c>
      <c r="D10" s="468"/>
      <c r="E10" s="468">
        <f t="shared" ref="E10:E36" si="1">C10-D10</f>
        <v>126302154.88</v>
      </c>
    </row>
    <row r="11" spans="1:5">
      <c r="A11" s="467">
        <v>1.3</v>
      </c>
      <c r="B11" s="414" t="s">
        <v>98</v>
      </c>
      <c r="C11" s="468">
        <v>108369568.89</v>
      </c>
      <c r="D11" s="468"/>
      <c r="E11" s="468">
        <f t="shared" si="1"/>
        <v>108369568.89</v>
      </c>
    </row>
    <row r="12" spans="1:5">
      <c r="A12" s="467">
        <v>2</v>
      </c>
      <c r="B12" s="415" t="s">
        <v>733</v>
      </c>
      <c r="C12" s="468"/>
      <c r="D12" s="468"/>
      <c r="E12" s="468">
        <f t="shared" si="1"/>
        <v>0</v>
      </c>
    </row>
    <row r="13" spans="1:5">
      <c r="A13" s="467">
        <v>2.1</v>
      </c>
      <c r="B13" s="416" t="s">
        <v>734</v>
      </c>
      <c r="C13" s="468"/>
      <c r="D13" s="468"/>
      <c r="E13" s="468">
        <f t="shared" si="1"/>
        <v>0</v>
      </c>
    </row>
    <row r="14" spans="1:5" ht="34.049999999999997" customHeight="1">
      <c r="A14" s="467">
        <v>3</v>
      </c>
      <c r="B14" s="417" t="s">
        <v>735</v>
      </c>
      <c r="C14" s="468">
        <v>757847.93</v>
      </c>
      <c r="D14" s="468"/>
      <c r="E14" s="468">
        <f t="shared" si="1"/>
        <v>757847.93</v>
      </c>
    </row>
    <row r="15" spans="1:5" ht="32.549999999999997" customHeight="1">
      <c r="A15" s="467">
        <v>4</v>
      </c>
      <c r="B15" s="418" t="s">
        <v>736</v>
      </c>
      <c r="C15" s="468"/>
      <c r="D15" s="468"/>
      <c r="E15" s="468">
        <f t="shared" si="1"/>
        <v>0</v>
      </c>
    </row>
    <row r="16" spans="1:5" ht="22.95" customHeight="1">
      <c r="A16" s="467">
        <v>5</v>
      </c>
      <c r="B16" s="418" t="s">
        <v>737</v>
      </c>
      <c r="C16" s="468">
        <f>SUM(C17:C19)</f>
        <v>0</v>
      </c>
      <c r="D16" s="468">
        <f t="shared" ref="D16" si="2">SUM(D17:D19)</f>
        <v>0</v>
      </c>
      <c r="E16" s="468">
        <f t="shared" si="1"/>
        <v>0</v>
      </c>
    </row>
    <row r="17" spans="1:5">
      <c r="A17" s="467">
        <v>5.0999999999999996</v>
      </c>
      <c r="B17" s="419" t="s">
        <v>738</v>
      </c>
      <c r="C17" s="468"/>
      <c r="D17" s="468"/>
      <c r="E17" s="468">
        <f t="shared" si="1"/>
        <v>0</v>
      </c>
    </row>
    <row r="18" spans="1:5">
      <c r="A18" s="467">
        <v>5.2</v>
      </c>
      <c r="B18" s="419" t="s">
        <v>569</v>
      </c>
      <c r="C18" s="468"/>
      <c r="D18" s="468"/>
      <c r="E18" s="468">
        <f t="shared" si="1"/>
        <v>0</v>
      </c>
    </row>
    <row r="19" spans="1:5">
      <c r="A19" s="467">
        <v>5.3</v>
      </c>
      <c r="B19" s="419" t="s">
        <v>739</v>
      </c>
      <c r="C19" s="468"/>
      <c r="D19" s="468"/>
      <c r="E19" s="468">
        <f t="shared" si="1"/>
        <v>0</v>
      </c>
    </row>
    <row r="20" spans="1:5" ht="20.399999999999999">
      <c r="A20" s="467">
        <v>6</v>
      </c>
      <c r="B20" s="417" t="s">
        <v>740</v>
      </c>
      <c r="C20" s="793">
        <f>SUM(C21:C22)</f>
        <v>1925207480.5278244</v>
      </c>
      <c r="D20" s="468">
        <f t="shared" ref="D20" si="3">SUM(D21:D22)</f>
        <v>0</v>
      </c>
      <c r="E20" s="468">
        <f t="shared" si="1"/>
        <v>1925207480.5278244</v>
      </c>
    </row>
    <row r="21" spans="1:5">
      <c r="A21" s="467">
        <v>6.1</v>
      </c>
      <c r="B21" s="419" t="s">
        <v>569</v>
      </c>
      <c r="C21" s="469">
        <v>48483957.209999993</v>
      </c>
      <c r="D21" s="469"/>
      <c r="E21" s="468">
        <f t="shared" si="1"/>
        <v>48483957.209999993</v>
      </c>
    </row>
    <row r="22" spans="1:5">
      <c r="A22" s="467">
        <v>6.2</v>
      </c>
      <c r="B22" s="419" t="s">
        <v>739</v>
      </c>
      <c r="C22" s="469">
        <v>1876723523.3178244</v>
      </c>
      <c r="D22" s="469"/>
      <c r="E22" s="468">
        <f t="shared" si="1"/>
        <v>1876723523.3178244</v>
      </c>
    </row>
    <row r="23" spans="1:5" ht="20.399999999999999">
      <c r="A23" s="467">
        <v>7</v>
      </c>
      <c r="B23" s="420" t="s">
        <v>741</v>
      </c>
      <c r="C23" s="470"/>
      <c r="D23" s="470"/>
      <c r="E23" s="468">
        <f t="shared" si="1"/>
        <v>0</v>
      </c>
    </row>
    <row r="24" spans="1:5" ht="20.399999999999999">
      <c r="A24" s="467">
        <v>8</v>
      </c>
      <c r="B24" s="421" t="s">
        <v>742</v>
      </c>
      <c r="C24" s="470"/>
      <c r="D24" s="470"/>
      <c r="E24" s="468">
        <f t="shared" si="1"/>
        <v>0</v>
      </c>
    </row>
    <row r="25" spans="1:5">
      <c r="A25" s="467">
        <v>9</v>
      </c>
      <c r="B25" s="418" t="s">
        <v>743</v>
      </c>
      <c r="C25" s="470">
        <f>SUM(C26:C27)</f>
        <v>40004854.700000018</v>
      </c>
      <c r="D25" s="470">
        <f t="shared" ref="D25" si="4">SUM(D26:D27)</f>
        <v>0</v>
      </c>
      <c r="E25" s="468">
        <f t="shared" si="1"/>
        <v>40004854.700000018</v>
      </c>
    </row>
    <row r="26" spans="1:5">
      <c r="A26" s="467">
        <v>9.1</v>
      </c>
      <c r="B26" s="422" t="s">
        <v>744</v>
      </c>
      <c r="C26" s="470">
        <v>40004854.700000018</v>
      </c>
      <c r="D26" s="470"/>
      <c r="E26" s="468">
        <f t="shared" si="1"/>
        <v>40004854.700000018</v>
      </c>
    </row>
    <row r="27" spans="1:5">
      <c r="A27" s="467">
        <v>9.1999999999999993</v>
      </c>
      <c r="B27" s="422" t="s">
        <v>745</v>
      </c>
      <c r="C27" s="470"/>
      <c r="D27" s="470"/>
      <c r="E27" s="468">
        <f t="shared" si="1"/>
        <v>0</v>
      </c>
    </row>
    <row r="28" spans="1:5">
      <c r="A28" s="467">
        <v>10</v>
      </c>
      <c r="B28" s="418" t="s">
        <v>36</v>
      </c>
      <c r="C28" s="470">
        <f>SUM(C29:C30)</f>
        <v>18631862.960000001</v>
      </c>
      <c r="D28" s="470">
        <f t="shared" ref="D28" si="5">SUM(D29:D30)</f>
        <v>18631862.960000001</v>
      </c>
      <c r="E28" s="468">
        <f t="shared" si="1"/>
        <v>0</v>
      </c>
    </row>
    <row r="29" spans="1:5">
      <c r="A29" s="467">
        <v>10.1</v>
      </c>
      <c r="B29" s="422" t="s">
        <v>746</v>
      </c>
      <c r="C29" s="470"/>
      <c r="D29" s="470"/>
      <c r="E29" s="468">
        <f t="shared" si="1"/>
        <v>0</v>
      </c>
    </row>
    <row r="30" spans="1:5">
      <c r="A30" s="467">
        <v>10.199999999999999</v>
      </c>
      <c r="B30" s="422" t="s">
        <v>747</v>
      </c>
      <c r="C30" s="470">
        <v>18631862.960000001</v>
      </c>
      <c r="D30" s="470">
        <v>18631862.960000001</v>
      </c>
      <c r="E30" s="468">
        <f t="shared" si="1"/>
        <v>0</v>
      </c>
    </row>
    <row r="31" spans="1:5">
      <c r="A31" s="467">
        <v>11</v>
      </c>
      <c r="B31" s="418" t="s">
        <v>748</v>
      </c>
      <c r="C31" s="470">
        <f>SUM(C32:C33)</f>
        <v>1747044.9600000028</v>
      </c>
      <c r="D31" s="470">
        <f t="shared" ref="D31" si="6">SUM(D32:D33)</f>
        <v>0</v>
      </c>
      <c r="E31" s="468">
        <f t="shared" si="1"/>
        <v>1747044.9600000028</v>
      </c>
    </row>
    <row r="32" spans="1:5">
      <c r="A32" s="467">
        <v>11.1</v>
      </c>
      <c r="B32" s="422" t="s">
        <v>749</v>
      </c>
      <c r="C32" s="470">
        <v>1747044.9600000028</v>
      </c>
      <c r="D32" s="470"/>
      <c r="E32" s="468">
        <f t="shared" si="1"/>
        <v>1747044.9600000028</v>
      </c>
    </row>
    <row r="33" spans="1:7">
      <c r="A33" s="467">
        <v>11.2</v>
      </c>
      <c r="B33" s="422" t="s">
        <v>750</v>
      </c>
      <c r="C33" s="470"/>
      <c r="D33" s="470"/>
      <c r="E33" s="468">
        <f t="shared" si="1"/>
        <v>0</v>
      </c>
    </row>
    <row r="34" spans="1:7">
      <c r="A34" s="467">
        <v>13</v>
      </c>
      <c r="B34" s="418" t="s">
        <v>99</v>
      </c>
      <c r="C34" s="469">
        <v>36510487</v>
      </c>
      <c r="D34" s="469"/>
      <c r="E34" s="468">
        <f t="shared" si="1"/>
        <v>36510487</v>
      </c>
    </row>
    <row r="35" spans="1:7">
      <c r="A35" s="467">
        <v>13.1</v>
      </c>
      <c r="B35" s="423" t="s">
        <v>751</v>
      </c>
      <c r="C35" s="469">
        <v>11082036</v>
      </c>
      <c r="D35" s="469"/>
      <c r="E35" s="468">
        <f t="shared" si="1"/>
        <v>11082036</v>
      </c>
    </row>
    <row r="36" spans="1:7">
      <c r="A36" s="467">
        <v>13.2</v>
      </c>
      <c r="B36" s="423" t="s">
        <v>752</v>
      </c>
      <c r="C36" s="469"/>
      <c r="D36" s="469"/>
      <c r="E36" s="468">
        <f t="shared" si="1"/>
        <v>0</v>
      </c>
    </row>
    <row r="37" spans="1:7" ht="42" thickBot="1">
      <c r="A37" s="246"/>
      <c r="B37" s="247" t="s">
        <v>320</v>
      </c>
      <c r="C37" s="206">
        <f>SUM(C8,C12,C14,C15,C16,C20,C23,C24,C25,C28,C31,C34)</f>
        <v>2339065142.3278241</v>
      </c>
      <c r="D37" s="206">
        <f t="shared" ref="D37:E37" si="7">SUM(D8,D12,D14,D15,D16,D20,D23,D24,D25,D28,D31,D34)</f>
        <v>18631862.960000001</v>
      </c>
      <c r="E37" s="206">
        <f t="shared" si="7"/>
        <v>2320433279.3678241</v>
      </c>
    </row>
    <row r="38" spans="1:7">
      <c r="A38"/>
      <c r="B38"/>
      <c r="C38"/>
      <c r="D38"/>
      <c r="E38"/>
    </row>
    <row r="39" spans="1:7">
      <c r="A39"/>
      <c r="B39"/>
      <c r="C39"/>
      <c r="D39"/>
      <c r="E39"/>
    </row>
    <row r="41" spans="1:7" s="1" customFormat="1">
      <c r="B41" s="29"/>
      <c r="F41"/>
      <c r="G41"/>
    </row>
    <row r="42" spans="1:7" s="1" customFormat="1">
      <c r="B42" s="30"/>
      <c r="F42"/>
      <c r="G42"/>
    </row>
    <row r="43" spans="1:7" s="1" customFormat="1">
      <c r="B43" s="29"/>
      <c r="F43"/>
      <c r="G43"/>
    </row>
    <row r="44" spans="1:7" s="1" customFormat="1">
      <c r="B44" s="29"/>
      <c r="F44"/>
      <c r="G44"/>
    </row>
    <row r="45" spans="1:7" s="1" customFormat="1">
      <c r="B45" s="29"/>
      <c r="F45"/>
      <c r="G45"/>
    </row>
    <row r="46" spans="1:7" s="1" customFormat="1">
      <c r="B46" s="29"/>
      <c r="F46"/>
      <c r="G46"/>
    </row>
    <row r="47" spans="1:7" s="1" customFormat="1">
      <c r="B47" s="29"/>
      <c r="F47"/>
      <c r="G47"/>
    </row>
    <row r="48" spans="1:7" s="1" customFormat="1">
      <c r="B48" s="30"/>
      <c r="F48"/>
      <c r="G48"/>
    </row>
    <row r="49" spans="2:7" s="1" customFormat="1">
      <c r="B49" s="30"/>
      <c r="F49"/>
      <c r="G49"/>
    </row>
    <row r="50" spans="2:7" s="1" customFormat="1">
      <c r="B50" s="30"/>
      <c r="F50"/>
      <c r="G50"/>
    </row>
    <row r="51" spans="2:7" s="1" customFormat="1">
      <c r="B51" s="30"/>
      <c r="F51"/>
      <c r="G51"/>
    </row>
    <row r="52" spans="2:7" s="1" customFormat="1">
      <c r="B52" s="30"/>
      <c r="F52"/>
      <c r="G52"/>
    </row>
    <row r="53" spans="2:7" s="1" customFormat="1">
      <c r="B53" s="30"/>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4.4" outlineLevelRow="1"/>
  <cols>
    <col min="1" max="1" width="9.5546875" style="1" bestFit="1" customWidth="1"/>
    <col min="2" max="2" width="114.21875" style="1"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3" t="s">
        <v>108</v>
      </c>
      <c r="B1" s="12" t="str">
        <f>Info!C2</f>
        <v>კრედო</v>
      </c>
    </row>
    <row r="2" spans="1:6" s="13" customFormat="1" ht="15.75" customHeight="1">
      <c r="A2" s="13" t="s">
        <v>109</v>
      </c>
      <c r="B2" s="346">
        <f>'1. key ratios'!B2</f>
        <v>45199</v>
      </c>
      <c r="C2"/>
      <c r="D2"/>
      <c r="E2"/>
      <c r="F2"/>
    </row>
    <row r="3" spans="1:6" s="13" customFormat="1" ht="15.75" customHeight="1">
      <c r="C3"/>
      <c r="D3"/>
      <c r="E3"/>
      <c r="F3"/>
    </row>
    <row r="4" spans="1:6" s="13" customFormat="1" ht="28.2" thickBot="1">
      <c r="A4" s="13" t="s">
        <v>256</v>
      </c>
      <c r="B4" s="132" t="s">
        <v>171</v>
      </c>
      <c r="C4" s="126" t="s">
        <v>87</v>
      </c>
      <c r="D4"/>
      <c r="E4"/>
      <c r="F4"/>
    </row>
    <row r="5" spans="1:6">
      <c r="A5" s="127">
        <v>1</v>
      </c>
      <c r="B5" s="128" t="s">
        <v>730</v>
      </c>
      <c r="C5" s="167">
        <f>'7. LI1'!E37</f>
        <v>2320433279.3678241</v>
      </c>
    </row>
    <row r="6" spans="1:6">
      <c r="A6" s="71">
        <v>2.1</v>
      </c>
      <c r="B6" s="134" t="s">
        <v>864</v>
      </c>
      <c r="C6" s="168">
        <v>48217748.61999999</v>
      </c>
    </row>
    <row r="7" spans="1:6" s="2" customFormat="1" ht="27.6" outlineLevel="1">
      <c r="A7" s="133">
        <v>2.2000000000000002</v>
      </c>
      <c r="B7" s="129" t="s">
        <v>865</v>
      </c>
      <c r="C7" s="169">
        <v>186916086</v>
      </c>
    </row>
    <row r="8" spans="1:6" s="2" customFormat="1" ht="27.6">
      <c r="A8" s="133">
        <v>3</v>
      </c>
      <c r="B8" s="130" t="s">
        <v>731</v>
      </c>
      <c r="C8" s="170">
        <f>SUM(C5:C7)</f>
        <v>2555567113.987824</v>
      </c>
    </row>
    <row r="9" spans="1:6">
      <c r="A9" s="71">
        <v>4</v>
      </c>
      <c r="B9" s="137" t="s">
        <v>169</v>
      </c>
      <c r="C9" s="168"/>
    </row>
    <row r="10" spans="1:6" s="2" customFormat="1" ht="27.6" outlineLevel="1">
      <c r="A10" s="133">
        <v>5.0999999999999996</v>
      </c>
      <c r="B10" s="129" t="s">
        <v>175</v>
      </c>
      <c r="C10" s="169">
        <v>-24571747.349999994</v>
      </c>
    </row>
    <row r="11" spans="1:6" s="2" customFormat="1" ht="27.6" outlineLevel="1">
      <c r="A11" s="133">
        <v>5.2</v>
      </c>
      <c r="B11" s="129" t="s">
        <v>176</v>
      </c>
      <c r="C11" s="169">
        <v>-183177764.28</v>
      </c>
    </row>
    <row r="12" spans="1:6" s="2" customFormat="1">
      <c r="A12" s="133">
        <v>6</v>
      </c>
      <c r="B12" s="135" t="s">
        <v>438</v>
      </c>
      <c r="C12" s="169"/>
    </row>
    <row r="13" spans="1:6" s="2" customFormat="1" ht="15" thickBot="1">
      <c r="A13" s="136">
        <v>7</v>
      </c>
      <c r="B13" s="131" t="s">
        <v>170</v>
      </c>
      <c r="C13" s="171">
        <f>SUM(C8:C12)</f>
        <v>2347817602.3578238</v>
      </c>
    </row>
    <row r="15" spans="1:6" ht="27.6">
      <c r="B15" s="17" t="s">
        <v>439</v>
      </c>
      <c r="C15" s="733"/>
    </row>
    <row r="17" spans="2:9" s="1" customFormat="1">
      <c r="B17" s="31"/>
      <c r="C17"/>
      <c r="D17"/>
      <c r="E17"/>
      <c r="F17"/>
      <c r="G17"/>
      <c r="H17"/>
      <c r="I17"/>
    </row>
    <row r="18" spans="2:9" s="1" customFormat="1">
      <c r="B18" s="28"/>
      <c r="C18"/>
      <c r="D18"/>
      <c r="E18"/>
      <c r="F18"/>
      <c r="G18"/>
      <c r="H18"/>
      <c r="I18"/>
    </row>
    <row r="19" spans="2:9" s="1" customFormat="1">
      <c r="B19" s="28"/>
      <c r="C19"/>
      <c r="D19"/>
      <c r="E19"/>
      <c r="F19"/>
      <c r="G19"/>
      <c r="H19"/>
      <c r="I19"/>
    </row>
    <row r="20" spans="2:9" s="1" customFormat="1">
      <c r="B20" s="30"/>
      <c r="C20"/>
      <c r="D20"/>
      <c r="E20"/>
      <c r="F20"/>
      <c r="G20"/>
      <c r="H20"/>
      <c r="I20"/>
    </row>
    <row r="21" spans="2:9" s="1" customFormat="1">
      <c r="B21" s="29"/>
      <c r="C21"/>
      <c r="D21"/>
      <c r="E21"/>
      <c r="F21"/>
      <c r="G21"/>
      <c r="H21"/>
      <c r="I21"/>
    </row>
    <row r="22" spans="2:9" s="1" customFormat="1">
      <c r="B22" s="30"/>
      <c r="C22"/>
      <c r="D22"/>
      <c r="E22"/>
      <c r="F22"/>
      <c r="G22"/>
      <c r="H22"/>
      <c r="I22"/>
    </row>
    <row r="23" spans="2:9" s="1" customFormat="1">
      <c r="B23" s="29"/>
      <c r="C23"/>
      <c r="D23"/>
      <c r="E23"/>
      <c r="F23"/>
      <c r="G23"/>
      <c r="H23"/>
      <c r="I23"/>
    </row>
    <row r="24" spans="2:9" s="1" customFormat="1">
      <c r="B24" s="29"/>
      <c r="C24"/>
      <c r="D24"/>
      <c r="E24"/>
      <c r="F24"/>
      <c r="G24"/>
      <c r="H24"/>
      <c r="I24"/>
    </row>
    <row r="25" spans="2:9" s="1" customFormat="1">
      <c r="B25" s="29"/>
      <c r="C25"/>
      <c r="D25"/>
      <c r="E25"/>
      <c r="F25"/>
      <c r="G25"/>
      <c r="H25"/>
      <c r="I25"/>
    </row>
    <row r="26" spans="2:9" s="1" customFormat="1">
      <c r="B26" s="29"/>
      <c r="C26"/>
      <c r="D26"/>
      <c r="E26"/>
      <c r="F26"/>
      <c r="G26"/>
      <c r="H26"/>
      <c r="I26"/>
    </row>
    <row r="27" spans="2:9" s="1" customFormat="1">
      <c r="B27" s="29"/>
      <c r="C27"/>
      <c r="D27"/>
      <c r="E27"/>
      <c r="F27"/>
      <c r="G27"/>
      <c r="H27"/>
      <c r="I27"/>
    </row>
    <row r="28" spans="2:9" s="1" customFormat="1">
      <c r="B28" s="30"/>
      <c r="C28"/>
      <c r="D28"/>
      <c r="E28"/>
      <c r="F28"/>
      <c r="G28"/>
      <c r="H28"/>
      <c r="I28"/>
    </row>
    <row r="29" spans="2:9" s="1" customFormat="1">
      <c r="B29" s="30"/>
      <c r="C29"/>
      <c r="D29"/>
      <c r="E29"/>
      <c r="F29"/>
      <c r="G29"/>
      <c r="H29"/>
      <c r="I29"/>
    </row>
    <row r="30" spans="2:9" s="1" customFormat="1">
      <c r="B30" s="30"/>
      <c r="C30"/>
      <c r="D30"/>
      <c r="E30"/>
      <c r="F30"/>
      <c r="G30"/>
      <c r="H30"/>
      <c r="I30"/>
    </row>
    <row r="31" spans="2:9" s="1" customFormat="1">
      <c r="B31" s="30"/>
      <c r="C31"/>
      <c r="D31"/>
      <c r="E31"/>
      <c r="F31"/>
      <c r="G31"/>
      <c r="H31"/>
      <c r="I31"/>
    </row>
    <row r="32" spans="2:9" s="1" customFormat="1">
      <c r="B32" s="30"/>
      <c r="C32"/>
      <c r="D32"/>
      <c r="E32"/>
      <c r="F32"/>
      <c r="G32"/>
      <c r="H32"/>
      <c r="I32"/>
    </row>
    <row r="33" spans="2:9" s="1" customFormat="1">
      <c r="B33" s="3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jQ5iCnBdc1P6z9c+AHXj71g/+NRZ0DEwMwSB0WrDw/0=</DigestValue>
    </Reference>
    <Reference Type="http://www.w3.org/2000/09/xmldsig#Object" URI="#idOfficeObject">
      <DigestMethod Algorithm="http://www.w3.org/2001/04/xmlenc#sha256"/>
      <DigestValue>teuNmMmR0XSxqoimis3d9Q5k1NYK92otzc0H9o4NPRk=</DigestValue>
    </Reference>
    <Reference Type="http://uri.etsi.org/01903#SignedProperties" URI="#idSignedProperties">
      <Transforms>
        <Transform Algorithm="http://www.w3.org/TR/2001/REC-xml-c14n-20010315"/>
      </Transforms>
      <DigestMethod Algorithm="http://www.w3.org/2001/04/xmlenc#sha256"/>
      <DigestValue>5bmxX/bHRIWwLNezCtNpcvkUgz7yOK/qcnQ753VxOdQ=</DigestValue>
    </Reference>
  </SignedInfo>
  <SignatureValue>qfxetr3xKElIkFijb7+pgKVFm9bkGWhR98g1xr6RB0YFAf8DvQQEba0++GxuPsDWjcnAHUtrX85b
r95Gc85mMvWj/KHPtjeBJVAGU+06m2sqZrUaO4fBYzpwf3evF+cOwGkxVokMzqETF6QFeM9cg1zZ
Il1XEgZ1ZZXAkplf3a3gqBNAm1U8KzdO6L3lDgC+17loUvF9gxotY4cRxN+1FMg9Ylqb1Cl/mLGn
fnoMbPOSGf4IYaOyPFb/uMVhCcqIAeT9TP5DDsqFEyR0wo+8dbqoK3VFLTJMoX/XLHUXSOESPP/9
lzkO76tkDDVeXOWpi1iX5Y+teljksSf3X1k+Yg==</SignatureValue>
  <KeyInfo>
    <X509Data>
      <X509Certificate>MIIGRDCCBSygAwIBAgIKKy7S3QADAAI3djANBgkqhkiG9w0BAQsFADBKMRIwEAYKCZImiZPyLGQBGRYCZ2UxEzARBgoJkiaJk/IsZAEZFgNuYmcxHzAdBgNVBAMTFk5CRyBDbGFzcyAyIElOVCBTdWIgQ0EwHhcNMjMwNjE2MDgwNTQ3WhcNMjUwNjE1MDgwNTQ3WjBCMRcwFQYDVQQKEw5KU0MgQ3JlZG8gQmFuazEnMCUGA1UEAxMeQkNEIC0gS29uc3RhbnRpbmUgR2hhbWJhc2hpZHplMIIBIjANBgkqhkiG9w0BAQEFAAOCAQ8AMIIBCgKCAQEA6ySQjPOg9/Hc3sXzEa+Xn08LVLkXyQ8+37IBPE5kJfn0YFTtHGxqxbzj/MZwdyV31c9SCE/kHVWpIRT7MF0kGbgoZNF0pTNYcmhOQU03ebGJ9yyDds8HgYVzoM7e2S8NSNyq2JPsKpyb72FyjHKD7VVBrUJM3WCsC2chjipvYizU9gMwxNzTPz9kT7zn4LuM6TSyrYSYB/oD+ooh0MKP7EE/4oJWz5UoVrmMbZIJc+R7MyabgDD53h7Tzpn+7SI4e65TwEBB/5zDmtuTNW/Inp7OPsoFD05atAPJFkdN1NEF7jfoNAa84UF2kOd5uU46gostlnPN/sqTyaWIX9as3QIDAQABo4IDMjCCAy4wPAYJKwYBBAGCNxUHBC8wLQYlKwYBBAGCNxUI5rJgg431RIaBmQmDuKFKg76EcQSDxJEzhIOIXQIBZAIBIzAdBgNVHSUEFjAUBggrBgEFBQcDAgYIKwYBBQUHAwQwCwYDVR0PBAQDAgeAMCcGCSsGAQQBgjcVCgQaMBgwCgYIKwYBBQUHAwIwCgYIKwYBBQUHAwQwHQYDVR0OBBYEFL/irtUv844KPAED+zVmPWx7bSH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qwWQesdOFPXG0FBpAJfwknFIxKrgyTWXse6yDOtyHX7S7PR7ukyysbO8MMscJiumA7ImwDZ0iOddUffSQFEgiqB04NvklRhElfN4KM+QbucgqDCL2ydHQtO+S6gH5nck01KkQIrRwcy+yItrvImdGaMquD+gMcdarX2zqxHpYfotlfPCbtDyS+cUKBNqU77U5O1stwjKZ41NDwBROc+//hfDWTWI+B+0zXlr2ikHaRmIBXIQhvlmG+YbEB7SIz/EacBWA0HKlm6HeEhqaiZxn3bR1knRZ3FxSqZpOGf/TZp3ZU9PNDDdIpBDgBqDHDHRHFxigo9bMuUIJ4nTSKmA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cP7ZKWDu195JhyGtbyp1UPdAjDOtNYWBYcTCiRb3Lio=</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9cV1PmbrOkTIFxv4H7v0LHhF6vhx7ymbZdNSfIYZpV0=</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BfOqFYncvTrOA0w5jBPLJpo6svE1gFZliFydlsU/uz4=</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iE26OokMEnQMYiWgMfFhVXzSbn0Dmk333xx6Y+G1iUw=</DigestValue>
      </Reference>
      <Reference URI="/xl/printerSettings/printerSettings18.bin?ContentType=application/vnd.openxmlformats-officedocument.spreadsheetml.printerSettings">
        <DigestMethod Algorithm="http://www.w3.org/2001/04/xmlenc#sha256"/>
        <DigestValue>K3N0bSS4Hs6kolLHHp7n+bQKAK5m8jutYmw8xOM9ZoM=</DigestValue>
      </Reference>
      <Reference URI="/xl/printerSettings/printerSettings19.bin?ContentType=application/vnd.openxmlformats-officedocument.spreadsheetml.printerSettings">
        <DigestMethod Algorithm="http://www.w3.org/2001/04/xmlenc#sha256"/>
        <DigestValue>2bvX94YA3UVSaKlpfCjo157kRTaGD9ZFW7t96/Nk1uk=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K3N0bSS4Hs6kolLHHp7n+bQKAK5m8jutYmw8xOM9ZoM=</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K3N0bSS4Hs6kolLHHp7n+bQKAK5m8jutYmw8xOM9ZoM=</DigestValue>
      </Reference>
      <Reference URI="/xl/printerSettings/printerSettings24.bin?ContentType=application/vnd.openxmlformats-officedocument.spreadsheetml.printerSettings">
        <DigestMethod Algorithm="http://www.w3.org/2001/04/xmlenc#sha256"/>
        <DigestValue>9cV1PmbrOkTIFxv4H7v0LHhF6vhx7ymbZdNSfIYZpV0=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9cV1PmbrOkTIFxv4H7v0LHhF6vhx7ymbZdNSfIYZpV0=</DigestValue>
      </Reference>
      <Reference URI="/xl/printerSettings/printerSettings4.bin?ContentType=application/vnd.openxmlformats-officedocument.spreadsheetml.printerSettings">
        <DigestMethod Algorithm="http://www.w3.org/2001/04/xmlenc#sha256"/>
        <DigestValue>9cV1PmbrOkTIFxv4H7v0LHhF6vhx7ymbZdNSfIYZpV0=</DigestValue>
      </Reference>
      <Reference URI="/xl/printerSettings/printerSettings5.bin?ContentType=application/vnd.openxmlformats-officedocument.spreadsheetml.printerSettings">
        <DigestMethod Algorithm="http://www.w3.org/2001/04/xmlenc#sha256"/>
        <DigestValue>L+CxbXS3yzcVLTJTz50kMb6T4gEHhM4qLfUzzpiwfWw=</DigestValue>
      </Reference>
      <Reference URI="/xl/printerSettings/printerSettings6.bin?ContentType=application/vnd.openxmlformats-officedocument.spreadsheetml.printerSettings">
        <DigestMethod Algorithm="http://www.w3.org/2001/04/xmlenc#sha256"/>
        <DigestValue>9mG81PytrHkYioZI1LP0ksiI7i+szuT1Vsy2GarE5gg=</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Ym4IP4VWn/25R42WW8ST89MUZwtJpUODafHxB8SuGL8=</DigestValue>
      </Reference>
      <Reference URI="/xl/styles.xml?ContentType=application/vnd.openxmlformats-officedocument.spreadsheetml.styles+xml">
        <DigestMethod Algorithm="http://www.w3.org/2001/04/xmlenc#sha256"/>
        <DigestValue>YqGPnkpVndh2qAA8Vl3oPXu1HkHoTV+M5miX1/EskQA=</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4XhgSJbr8CpODyu9/szGnI4cVQ5Z6eNLmxMZnlf4p6g=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JYnXXOddfYWD4G+cJzZdz8qSRmM8uupzrbue99jYe5A=</DigestValue>
      </Reference>
      <Reference URI="/xl/worksheets/sheet10.xml?ContentType=application/vnd.openxmlformats-officedocument.spreadsheetml.worksheet+xml">
        <DigestMethod Algorithm="http://www.w3.org/2001/04/xmlenc#sha256"/>
        <DigestValue>F0UENGZv7YfQmiDr9PgQNN+vNcAtlv9b7F/OxiN9kpA=</DigestValue>
      </Reference>
      <Reference URI="/xl/worksheets/sheet11.xml?ContentType=application/vnd.openxmlformats-officedocument.spreadsheetml.worksheet+xml">
        <DigestMethod Algorithm="http://www.w3.org/2001/04/xmlenc#sha256"/>
        <DigestValue>WPJVXasv+5p+1OKIEKUn0FDuRB25UtS/UQcLGRVHctA=</DigestValue>
      </Reference>
      <Reference URI="/xl/worksheets/sheet12.xml?ContentType=application/vnd.openxmlformats-officedocument.spreadsheetml.worksheet+xml">
        <DigestMethod Algorithm="http://www.w3.org/2001/04/xmlenc#sha256"/>
        <DigestValue>J9OluyDmaqbRGHIjgIGoag91CMR+3jhyZHQG/K0+WTg=</DigestValue>
      </Reference>
      <Reference URI="/xl/worksheets/sheet13.xml?ContentType=application/vnd.openxmlformats-officedocument.spreadsheetml.worksheet+xml">
        <DigestMethod Algorithm="http://www.w3.org/2001/04/xmlenc#sha256"/>
        <DigestValue>8RvRg3qSUHahvyJC17OddDbkobakNnryR3itoTug/Tc=</DigestValue>
      </Reference>
      <Reference URI="/xl/worksheets/sheet14.xml?ContentType=application/vnd.openxmlformats-officedocument.spreadsheetml.worksheet+xml">
        <DigestMethod Algorithm="http://www.w3.org/2001/04/xmlenc#sha256"/>
        <DigestValue>4LVBDXO5Mo6qqrkCxTYicbzRIXRNyDlca8RESrR0jio=</DigestValue>
      </Reference>
      <Reference URI="/xl/worksheets/sheet15.xml?ContentType=application/vnd.openxmlformats-officedocument.spreadsheetml.worksheet+xml">
        <DigestMethod Algorithm="http://www.w3.org/2001/04/xmlenc#sha256"/>
        <DigestValue>HgbmGMDVWjyjkOJ0/rLfVgy/PAj+4q3RvaUEI7Awg7Q=</DigestValue>
      </Reference>
      <Reference URI="/xl/worksheets/sheet16.xml?ContentType=application/vnd.openxmlformats-officedocument.spreadsheetml.worksheet+xml">
        <DigestMethod Algorithm="http://www.w3.org/2001/04/xmlenc#sha256"/>
        <DigestValue>om47qaF8W3DWTSoH4wOpmCOMQ/vGxAEwCfe1l+wHVUg=</DigestValue>
      </Reference>
      <Reference URI="/xl/worksheets/sheet17.xml?ContentType=application/vnd.openxmlformats-officedocument.spreadsheetml.worksheet+xml">
        <DigestMethod Algorithm="http://www.w3.org/2001/04/xmlenc#sha256"/>
        <DigestValue>9JGlT9Uh/VfnnqhpFN/++kswqJpiDXNDsO8ZJ3jkn8E=</DigestValue>
      </Reference>
      <Reference URI="/xl/worksheets/sheet18.xml?ContentType=application/vnd.openxmlformats-officedocument.spreadsheetml.worksheet+xml">
        <DigestMethod Algorithm="http://www.w3.org/2001/04/xmlenc#sha256"/>
        <DigestValue>5m6gobFR0t1poJkQu3jga5A8g46hnQDofOGhWb+EUR0=</DigestValue>
      </Reference>
      <Reference URI="/xl/worksheets/sheet19.xml?ContentType=application/vnd.openxmlformats-officedocument.spreadsheetml.worksheet+xml">
        <DigestMethod Algorithm="http://www.w3.org/2001/04/xmlenc#sha256"/>
        <DigestValue>HTEsj/N6+TDwYV+nzhPGIeRhO0eioHK9GF5/FFmRah0=</DigestValue>
      </Reference>
      <Reference URI="/xl/worksheets/sheet2.xml?ContentType=application/vnd.openxmlformats-officedocument.spreadsheetml.worksheet+xml">
        <DigestMethod Algorithm="http://www.w3.org/2001/04/xmlenc#sha256"/>
        <DigestValue>ane5SPzWXZs6rSH1y8D7xKf+F8w7f76W0pLcRJRCT6E=</DigestValue>
      </Reference>
      <Reference URI="/xl/worksheets/sheet20.xml?ContentType=application/vnd.openxmlformats-officedocument.spreadsheetml.worksheet+xml">
        <DigestMethod Algorithm="http://www.w3.org/2001/04/xmlenc#sha256"/>
        <DigestValue>YbJTcBArNBbx1dLYYHdBhEksAMbtDV5ktmqttMAEAvA=</DigestValue>
      </Reference>
      <Reference URI="/xl/worksheets/sheet21.xml?ContentType=application/vnd.openxmlformats-officedocument.spreadsheetml.worksheet+xml">
        <DigestMethod Algorithm="http://www.w3.org/2001/04/xmlenc#sha256"/>
        <DigestValue>FzStjMK1m/ASBAwa8RUeW69AqR2KXhB6Ts9NwU06YTw=</DigestValue>
      </Reference>
      <Reference URI="/xl/worksheets/sheet22.xml?ContentType=application/vnd.openxmlformats-officedocument.spreadsheetml.worksheet+xml">
        <DigestMethod Algorithm="http://www.w3.org/2001/04/xmlenc#sha256"/>
        <DigestValue>QUF1qmXA2Uu+1M4qZm32tZ5LXk5vUMKuprFtfSDA8no=</DigestValue>
      </Reference>
      <Reference URI="/xl/worksheets/sheet23.xml?ContentType=application/vnd.openxmlformats-officedocument.spreadsheetml.worksheet+xml">
        <DigestMethod Algorithm="http://www.w3.org/2001/04/xmlenc#sha256"/>
        <DigestValue>jbw8fFDh/e2Vqa0xjrSsYY5/QExIWE9mKmagoO+Hho0=</DigestValue>
      </Reference>
      <Reference URI="/xl/worksheets/sheet24.xml?ContentType=application/vnd.openxmlformats-officedocument.spreadsheetml.worksheet+xml">
        <DigestMethod Algorithm="http://www.w3.org/2001/04/xmlenc#sha256"/>
        <DigestValue>yJCwGudff/VF5QVDfmBxEJ85xsrep9Fpox+VgHuMxUM=</DigestValue>
      </Reference>
      <Reference URI="/xl/worksheets/sheet25.xml?ContentType=application/vnd.openxmlformats-officedocument.spreadsheetml.worksheet+xml">
        <DigestMethod Algorithm="http://www.w3.org/2001/04/xmlenc#sha256"/>
        <DigestValue>fggBjrDsZ1YdvBgGcXk/en6cmqINvT54dXgCuLsYidQ=</DigestValue>
      </Reference>
      <Reference URI="/xl/worksheets/sheet26.xml?ContentType=application/vnd.openxmlformats-officedocument.spreadsheetml.worksheet+xml">
        <DigestMethod Algorithm="http://www.w3.org/2001/04/xmlenc#sha256"/>
        <DigestValue>5tLw3opFQvZ68wa7JLMoMOZbmmBBl+ADxOslnkj+vTI=</DigestValue>
      </Reference>
      <Reference URI="/xl/worksheets/sheet27.xml?ContentType=application/vnd.openxmlformats-officedocument.spreadsheetml.worksheet+xml">
        <DigestMethod Algorithm="http://www.w3.org/2001/04/xmlenc#sha256"/>
        <DigestValue>aTNYz8PQTT+e/hRyiHCQi/EcLgq6sGtQplSLquwVayk=</DigestValue>
      </Reference>
      <Reference URI="/xl/worksheets/sheet28.xml?ContentType=application/vnd.openxmlformats-officedocument.spreadsheetml.worksheet+xml">
        <DigestMethod Algorithm="http://www.w3.org/2001/04/xmlenc#sha256"/>
        <DigestValue>5NhIE/HM4pWXTDv0LVHuML+mWkUW0K7+yEi5aGXtk3g=</DigestValue>
      </Reference>
      <Reference URI="/xl/worksheets/sheet29.xml?ContentType=application/vnd.openxmlformats-officedocument.spreadsheetml.worksheet+xml">
        <DigestMethod Algorithm="http://www.w3.org/2001/04/xmlenc#sha256"/>
        <DigestValue>zh7NLGFU4IcC9+64Zp58qve8dwyFnk3UH2SbSncEWCY=</DigestValue>
      </Reference>
      <Reference URI="/xl/worksheets/sheet3.xml?ContentType=application/vnd.openxmlformats-officedocument.spreadsheetml.worksheet+xml">
        <DigestMethod Algorithm="http://www.w3.org/2001/04/xmlenc#sha256"/>
        <DigestValue>TGDRBmgbSywbSHMNz24nWsRJQfszRLIE6KfRdLkMNrA=</DigestValue>
      </Reference>
      <Reference URI="/xl/worksheets/sheet30.xml?ContentType=application/vnd.openxmlformats-officedocument.spreadsheetml.worksheet+xml">
        <DigestMethod Algorithm="http://www.w3.org/2001/04/xmlenc#sha256"/>
        <DigestValue>Uac4zMrOsCWgsFPnsvYeW26j9XuUYzADPDXEbRzRU/Y=</DigestValue>
      </Reference>
      <Reference URI="/xl/worksheets/sheet4.xml?ContentType=application/vnd.openxmlformats-officedocument.spreadsheetml.worksheet+xml">
        <DigestMethod Algorithm="http://www.w3.org/2001/04/xmlenc#sha256"/>
        <DigestValue>GaXQLFJ35AqcNN/UOd1d9LA5NkjxSS4gu8xPmqON+jc=</DigestValue>
      </Reference>
      <Reference URI="/xl/worksheets/sheet5.xml?ContentType=application/vnd.openxmlformats-officedocument.spreadsheetml.worksheet+xml">
        <DigestMethod Algorithm="http://www.w3.org/2001/04/xmlenc#sha256"/>
        <DigestValue>3taePNIAZQzxWx69TU+AEZ2l8fSlI+P2Vu349vJESkU=</DigestValue>
      </Reference>
      <Reference URI="/xl/worksheets/sheet6.xml?ContentType=application/vnd.openxmlformats-officedocument.spreadsheetml.worksheet+xml">
        <DigestMethod Algorithm="http://www.w3.org/2001/04/xmlenc#sha256"/>
        <DigestValue>7rr1G184g7v3DYMMvLDS8I2FgvpTQoYD4t58l/BAP+s=</DigestValue>
      </Reference>
      <Reference URI="/xl/worksheets/sheet7.xml?ContentType=application/vnd.openxmlformats-officedocument.spreadsheetml.worksheet+xml">
        <DigestMethod Algorithm="http://www.w3.org/2001/04/xmlenc#sha256"/>
        <DigestValue>bglC0tO+j2zQGkn+/6q68OXxmavKMzZftUKUNo3GedU=</DigestValue>
      </Reference>
      <Reference URI="/xl/worksheets/sheet8.xml?ContentType=application/vnd.openxmlformats-officedocument.spreadsheetml.worksheet+xml">
        <DigestMethod Algorithm="http://www.w3.org/2001/04/xmlenc#sha256"/>
        <DigestValue>iPWJXVarZwsHvTd+K4NGt43c8Nwc1H2KwedYFU51cxM=</DigestValue>
      </Reference>
      <Reference URI="/xl/worksheets/sheet9.xml?ContentType=application/vnd.openxmlformats-officedocument.spreadsheetml.worksheet+xml">
        <DigestMethod Algorithm="http://www.w3.org/2001/04/xmlenc#sha256"/>
        <DigestValue>KWksRvzMwTYGAyfIderbnZrG04RJfMjjnntFmOB5YEk=</DigestValue>
      </Reference>
    </Manifest>
    <SignatureProperties>
      <SignatureProperty Id="idSignatureTime" Target="#idPackageSignature">
        <mdssi:SignatureTime xmlns:mdssi="http://schemas.openxmlformats.org/package/2006/digital-signature">
          <mdssi:Format>YYYY-MM-DDThh:mm:ssTZD</mdssi:Format>
          <mdssi:Value>2023-12-19T08:59:14Z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2023-12-19T08:59:14Z</xd:SigningTime>
          <xd:SigningCertificate>
            <xd:Cert>
              <xd:CertDigest>
                <DigestMethod Algorithm="http://www.w3.org/2001/04/xmlenc#sha256"/>
                <DigestValue>1hSUnl0NOjl6jE3hV5+Dc2J11ZVMOhetdT0CqbpWONA=</DigestValue>
              </xd:CertDigest>
              <xd:IssuerSerial>
                <X509IssuerName>CN=NBG Class 2 INT Sub CA, DC=nbg, DC=ge</X509IssuerName>
                <X509SerialNumber>203925503291516086531958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I1idGfnMu39zvMGt659i7EqCKUND6cqwkI8FsV1WSow=</DigestValue>
    </Reference>
    <Reference Type="http://www.w3.org/2000/09/xmldsig#Object" URI="#idOfficeObject">
      <DigestMethod Algorithm="http://www.w3.org/2001/04/xmlenc#sha256"/>
      <DigestValue>0CbMmj85seUnz8pYhDj/LZysvzNNmNAlOusJP4WlFjs=</DigestValue>
    </Reference>
    <Reference Type="http://uri.etsi.org/01903#SignedProperties" URI="#idSignedProperties">
      <Transforms>
        <Transform Algorithm="http://www.w3.org/TR/2001/REC-xml-c14n-20010315"/>
      </Transforms>
      <DigestMethod Algorithm="http://www.w3.org/2001/04/xmlenc#sha256"/>
      <DigestValue>2V1A19FV2NfXFr2WBeT/wpRuNvGSWE+twrkhddP7VJs=</DigestValue>
    </Reference>
  </SignedInfo>
  <SignatureValue>sPKVYJwqT/dWzdYgeCduRcaxmeLG5DKz5OqE4+npeNmtLNOZlGMIUchhS7MQxNSo0r77lIIKz0NU
deu8fZshjxv/FS3avAXMZJVopmL5+LXITpVz2gZ6ZLAZdt6aDS1Bhvt8eKtrUfDG6Ig04LQ8p+dl
lL4eHkDgw+gGc+COtBsxAmYcP+ZUXc4LuL20YGvC6kGkTHxtY2TG/xMZSbjhnibqG7KjAFem7NR9
4h1cXxO9bFKbYZVBtxaMnYuErpDDTm44omez6TqghVT2QSFstLiS6vUIn68eIRMFNYAGY0srHB7x
MW8bq/vtpGNs1uREbWTsQ/mQjCAAQVzxLUW71w==</SignatureValue>
  <KeyInfo>
    <X509Data>
      <X509Certificate>MIIGPjCCBSagAwIBAgIKHZPGBwADAAI4wTANBgkqhkiG9w0BAQsFADBKMRIwEAYKCZImiZPyLGQBGRYCZ2UxEzARBgoJkiaJk/IsZAEZFgNuYmcxHzAdBgNVBAMTFk5CRyBDbGFzcyAyIElOVCBTdWIgQ0EwHhcNMjMwNzA1MTAzOTU0WhcNMjUwNzA0MTAzOTU0WjA8MRcwFQYDVQQKEw5KU0MgQ3JlZG8gQmFuazEhMB8GA1UEAxMYQkNEIC0gRXJla2xlIFphdGlhc2h2aWxpMIIBIjANBgkqhkiG9w0BAQEFAAOCAQ8AMIIBCgKCAQEA7bW9DMX0iR7EsqQh8o9bvXr+aEeGQUtJMsEIJWF0lP9zeqiRwv2angsCuy2ME7xPbjJFDEVTITO6/38aRqyaSOb1TdfSqzLgahOa3jgsXhSQlHozTrmWwmzHCWTSuIUol71hGTNGa9T7ejbvDVtgwlMpcDA0NZsi4qZ/oHdiJOTfZ7oz3oHxZABAXYTJZ0ZZ2BXUI+4Kc5f+kJzK+9UhM9Tsy2ooqi+QK4wlHw67pyARFbRd3XV8/i9T/MyANYm0QM0a+t3RH9wRS1bLeBRBA8NoHiX9bap7unfJp6ZliqliavAW94bzNLN4cQ+00HdVArGg/oGjWf7lCY9387WtJwIDAQABo4IDMjCCAy4wPAYJKwYBBAGCNxUHBC8wLQYlKwYBBAGCNxUI5rJgg431RIaBmQmDuKFKg76EcQSDxJEzhIOIXQIBZAIBIzAdBgNVHSUEFjAUBggrBgEFBQcDAgYIKwYBBQUHAwQwCwYDVR0PBAQDAgeAMCcGCSsGAQQBgjcVCgQaMBgwCgYIKwYBBQUHAwIwCgYIKwYBBQUHAwQwHQYDVR0OBBYEFHSZPQMxSyXM6nGWbGTe4BJpWb+j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dPUuhza/HiypApCKI1cfD7a+gExMdmv2a/4NS0lQi07qAlHGcXd5Y76MGOj4UCe98Ge9/hFoe0V9jgaGOdv/1Y5F88jdCaQLVcVhFlCk7lfBcQCmjTg7DDv9CjuQyhhG4pmLtm8EiJSuxpR9d+TnsgIvrQOEjpvJi3rRMl4IQ4HZJD5+Od0sZGMmLX7BhZN0WgpFwpmwIoUV1o2+ohcN5CMeYTmxPyi8jkfuyEetSHJdfyVVo5h3lz69+9q0OVz5AO2ztYi0cLnZDX11jHoJVHyTqkMtcMTeSmEZsLH/Xm0AsZSeo9JYf/bZcWaRf16/Qj7SiAd3Ozw2H1QwDtG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cP7ZKWDu195JhyGtbyp1UPdAjDOtNYWBYcTCiRb3Lio=</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9cV1PmbrOkTIFxv4H7v0LHhF6vhx7ymbZdNSfIYZpV0=</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BfOqFYncvTrOA0w5jBPLJpo6svE1gFZliFydlsU/uz4=</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iE26OokMEnQMYiWgMfFhVXzSbn0Dmk333xx6Y+G1iUw=</DigestValue>
      </Reference>
      <Reference URI="/xl/printerSettings/printerSettings18.bin?ContentType=application/vnd.openxmlformats-officedocument.spreadsheetml.printerSettings">
        <DigestMethod Algorithm="http://www.w3.org/2001/04/xmlenc#sha256"/>
        <DigestValue>K3N0bSS4Hs6kolLHHp7n+bQKAK5m8jutYmw8xOM9ZoM=</DigestValue>
      </Reference>
      <Reference URI="/xl/printerSettings/printerSettings19.bin?ContentType=application/vnd.openxmlformats-officedocument.spreadsheetml.printerSettings">
        <DigestMethod Algorithm="http://www.w3.org/2001/04/xmlenc#sha256"/>
        <DigestValue>2bvX94YA3UVSaKlpfCjo157kRTaGD9ZFW7t96/Nk1uk=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K3N0bSS4Hs6kolLHHp7n+bQKAK5m8jutYmw8xOM9ZoM=</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K3N0bSS4Hs6kolLHHp7n+bQKAK5m8jutYmw8xOM9ZoM=</DigestValue>
      </Reference>
      <Reference URI="/xl/printerSettings/printerSettings24.bin?ContentType=application/vnd.openxmlformats-officedocument.spreadsheetml.printerSettings">
        <DigestMethod Algorithm="http://www.w3.org/2001/04/xmlenc#sha256"/>
        <DigestValue>9cV1PmbrOkTIFxv4H7v0LHhF6vhx7ymbZdNSfIYZpV0=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9cV1PmbrOkTIFxv4H7v0LHhF6vhx7ymbZdNSfIYZpV0=</DigestValue>
      </Reference>
      <Reference URI="/xl/printerSettings/printerSettings4.bin?ContentType=application/vnd.openxmlformats-officedocument.spreadsheetml.printerSettings">
        <DigestMethod Algorithm="http://www.w3.org/2001/04/xmlenc#sha256"/>
        <DigestValue>9cV1PmbrOkTIFxv4H7v0LHhF6vhx7ymbZdNSfIYZpV0=</DigestValue>
      </Reference>
      <Reference URI="/xl/printerSettings/printerSettings5.bin?ContentType=application/vnd.openxmlformats-officedocument.spreadsheetml.printerSettings">
        <DigestMethod Algorithm="http://www.w3.org/2001/04/xmlenc#sha256"/>
        <DigestValue>L+CxbXS3yzcVLTJTz50kMb6T4gEHhM4qLfUzzpiwfWw=</DigestValue>
      </Reference>
      <Reference URI="/xl/printerSettings/printerSettings6.bin?ContentType=application/vnd.openxmlformats-officedocument.spreadsheetml.printerSettings">
        <DigestMethod Algorithm="http://www.w3.org/2001/04/xmlenc#sha256"/>
        <DigestValue>9mG81PytrHkYioZI1LP0ksiI7i+szuT1Vsy2GarE5gg=</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Ym4IP4VWn/25R42WW8ST89MUZwtJpUODafHxB8SuGL8=</DigestValue>
      </Reference>
      <Reference URI="/xl/styles.xml?ContentType=application/vnd.openxmlformats-officedocument.spreadsheetml.styles+xml">
        <DigestMethod Algorithm="http://www.w3.org/2001/04/xmlenc#sha256"/>
        <DigestValue>YqGPnkpVndh2qAA8Vl3oPXu1HkHoTV+M5miX1/EskQA=</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4XhgSJbr8CpODyu9/szGnI4cVQ5Z6eNLmxMZnlf4p6g=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JYnXXOddfYWD4G+cJzZdz8qSRmM8uupzrbue99jYe5A=</DigestValue>
      </Reference>
      <Reference URI="/xl/worksheets/sheet10.xml?ContentType=application/vnd.openxmlformats-officedocument.spreadsheetml.worksheet+xml">
        <DigestMethod Algorithm="http://www.w3.org/2001/04/xmlenc#sha256"/>
        <DigestValue>F0UENGZv7YfQmiDr9PgQNN+vNcAtlv9b7F/OxiN9kpA=</DigestValue>
      </Reference>
      <Reference URI="/xl/worksheets/sheet11.xml?ContentType=application/vnd.openxmlformats-officedocument.spreadsheetml.worksheet+xml">
        <DigestMethod Algorithm="http://www.w3.org/2001/04/xmlenc#sha256"/>
        <DigestValue>WPJVXasv+5p+1OKIEKUn0FDuRB25UtS/UQcLGRVHctA=</DigestValue>
      </Reference>
      <Reference URI="/xl/worksheets/sheet12.xml?ContentType=application/vnd.openxmlformats-officedocument.spreadsheetml.worksheet+xml">
        <DigestMethod Algorithm="http://www.w3.org/2001/04/xmlenc#sha256"/>
        <DigestValue>J9OluyDmaqbRGHIjgIGoag91CMR+3jhyZHQG/K0+WTg=</DigestValue>
      </Reference>
      <Reference URI="/xl/worksheets/sheet13.xml?ContentType=application/vnd.openxmlformats-officedocument.spreadsheetml.worksheet+xml">
        <DigestMethod Algorithm="http://www.w3.org/2001/04/xmlenc#sha256"/>
        <DigestValue>8RvRg3qSUHahvyJC17OddDbkobakNnryR3itoTug/Tc=</DigestValue>
      </Reference>
      <Reference URI="/xl/worksheets/sheet14.xml?ContentType=application/vnd.openxmlformats-officedocument.spreadsheetml.worksheet+xml">
        <DigestMethod Algorithm="http://www.w3.org/2001/04/xmlenc#sha256"/>
        <DigestValue>4LVBDXO5Mo6qqrkCxTYicbzRIXRNyDlca8RESrR0jio=</DigestValue>
      </Reference>
      <Reference URI="/xl/worksheets/sheet15.xml?ContentType=application/vnd.openxmlformats-officedocument.spreadsheetml.worksheet+xml">
        <DigestMethod Algorithm="http://www.w3.org/2001/04/xmlenc#sha256"/>
        <DigestValue>HgbmGMDVWjyjkOJ0/rLfVgy/PAj+4q3RvaUEI7Awg7Q=</DigestValue>
      </Reference>
      <Reference URI="/xl/worksheets/sheet16.xml?ContentType=application/vnd.openxmlformats-officedocument.spreadsheetml.worksheet+xml">
        <DigestMethod Algorithm="http://www.w3.org/2001/04/xmlenc#sha256"/>
        <DigestValue>om47qaF8W3DWTSoH4wOpmCOMQ/vGxAEwCfe1l+wHVUg=</DigestValue>
      </Reference>
      <Reference URI="/xl/worksheets/sheet17.xml?ContentType=application/vnd.openxmlformats-officedocument.spreadsheetml.worksheet+xml">
        <DigestMethod Algorithm="http://www.w3.org/2001/04/xmlenc#sha256"/>
        <DigestValue>9JGlT9Uh/VfnnqhpFN/++kswqJpiDXNDsO8ZJ3jkn8E=</DigestValue>
      </Reference>
      <Reference URI="/xl/worksheets/sheet18.xml?ContentType=application/vnd.openxmlformats-officedocument.spreadsheetml.worksheet+xml">
        <DigestMethod Algorithm="http://www.w3.org/2001/04/xmlenc#sha256"/>
        <DigestValue>5m6gobFR0t1poJkQu3jga5A8g46hnQDofOGhWb+EUR0=</DigestValue>
      </Reference>
      <Reference URI="/xl/worksheets/sheet19.xml?ContentType=application/vnd.openxmlformats-officedocument.spreadsheetml.worksheet+xml">
        <DigestMethod Algorithm="http://www.w3.org/2001/04/xmlenc#sha256"/>
        <DigestValue>HTEsj/N6+TDwYV+nzhPGIeRhO0eioHK9GF5/FFmRah0=</DigestValue>
      </Reference>
      <Reference URI="/xl/worksheets/sheet2.xml?ContentType=application/vnd.openxmlformats-officedocument.spreadsheetml.worksheet+xml">
        <DigestMethod Algorithm="http://www.w3.org/2001/04/xmlenc#sha256"/>
        <DigestValue>ane5SPzWXZs6rSH1y8D7xKf+F8w7f76W0pLcRJRCT6E=</DigestValue>
      </Reference>
      <Reference URI="/xl/worksheets/sheet20.xml?ContentType=application/vnd.openxmlformats-officedocument.spreadsheetml.worksheet+xml">
        <DigestMethod Algorithm="http://www.w3.org/2001/04/xmlenc#sha256"/>
        <DigestValue>YbJTcBArNBbx1dLYYHdBhEksAMbtDV5ktmqttMAEAvA=</DigestValue>
      </Reference>
      <Reference URI="/xl/worksheets/sheet21.xml?ContentType=application/vnd.openxmlformats-officedocument.spreadsheetml.worksheet+xml">
        <DigestMethod Algorithm="http://www.w3.org/2001/04/xmlenc#sha256"/>
        <DigestValue>FzStjMK1m/ASBAwa8RUeW69AqR2KXhB6Ts9NwU06YTw=</DigestValue>
      </Reference>
      <Reference URI="/xl/worksheets/sheet22.xml?ContentType=application/vnd.openxmlformats-officedocument.spreadsheetml.worksheet+xml">
        <DigestMethod Algorithm="http://www.w3.org/2001/04/xmlenc#sha256"/>
        <DigestValue>QUF1qmXA2Uu+1M4qZm32tZ5LXk5vUMKuprFtfSDA8no=</DigestValue>
      </Reference>
      <Reference URI="/xl/worksheets/sheet23.xml?ContentType=application/vnd.openxmlformats-officedocument.spreadsheetml.worksheet+xml">
        <DigestMethod Algorithm="http://www.w3.org/2001/04/xmlenc#sha256"/>
        <DigestValue>jbw8fFDh/e2Vqa0xjrSsYY5/QExIWE9mKmagoO+Hho0=</DigestValue>
      </Reference>
      <Reference URI="/xl/worksheets/sheet24.xml?ContentType=application/vnd.openxmlformats-officedocument.spreadsheetml.worksheet+xml">
        <DigestMethod Algorithm="http://www.w3.org/2001/04/xmlenc#sha256"/>
        <DigestValue>yJCwGudff/VF5QVDfmBxEJ85xsrep9Fpox+VgHuMxUM=</DigestValue>
      </Reference>
      <Reference URI="/xl/worksheets/sheet25.xml?ContentType=application/vnd.openxmlformats-officedocument.spreadsheetml.worksheet+xml">
        <DigestMethod Algorithm="http://www.w3.org/2001/04/xmlenc#sha256"/>
        <DigestValue>fggBjrDsZ1YdvBgGcXk/en6cmqINvT54dXgCuLsYidQ=</DigestValue>
      </Reference>
      <Reference URI="/xl/worksheets/sheet26.xml?ContentType=application/vnd.openxmlformats-officedocument.spreadsheetml.worksheet+xml">
        <DigestMethod Algorithm="http://www.w3.org/2001/04/xmlenc#sha256"/>
        <DigestValue>5tLw3opFQvZ68wa7JLMoMOZbmmBBl+ADxOslnkj+vTI=</DigestValue>
      </Reference>
      <Reference URI="/xl/worksheets/sheet27.xml?ContentType=application/vnd.openxmlformats-officedocument.spreadsheetml.worksheet+xml">
        <DigestMethod Algorithm="http://www.w3.org/2001/04/xmlenc#sha256"/>
        <DigestValue>aTNYz8PQTT+e/hRyiHCQi/EcLgq6sGtQplSLquwVayk=</DigestValue>
      </Reference>
      <Reference URI="/xl/worksheets/sheet28.xml?ContentType=application/vnd.openxmlformats-officedocument.spreadsheetml.worksheet+xml">
        <DigestMethod Algorithm="http://www.w3.org/2001/04/xmlenc#sha256"/>
        <DigestValue>5NhIE/HM4pWXTDv0LVHuML+mWkUW0K7+yEi5aGXtk3g=</DigestValue>
      </Reference>
      <Reference URI="/xl/worksheets/sheet29.xml?ContentType=application/vnd.openxmlformats-officedocument.spreadsheetml.worksheet+xml">
        <DigestMethod Algorithm="http://www.w3.org/2001/04/xmlenc#sha256"/>
        <DigestValue>zh7NLGFU4IcC9+64Zp58qve8dwyFnk3UH2SbSncEWCY=</DigestValue>
      </Reference>
      <Reference URI="/xl/worksheets/sheet3.xml?ContentType=application/vnd.openxmlformats-officedocument.spreadsheetml.worksheet+xml">
        <DigestMethod Algorithm="http://www.w3.org/2001/04/xmlenc#sha256"/>
        <DigestValue>TGDRBmgbSywbSHMNz24nWsRJQfszRLIE6KfRdLkMNrA=</DigestValue>
      </Reference>
      <Reference URI="/xl/worksheets/sheet30.xml?ContentType=application/vnd.openxmlformats-officedocument.spreadsheetml.worksheet+xml">
        <DigestMethod Algorithm="http://www.w3.org/2001/04/xmlenc#sha256"/>
        <DigestValue>Uac4zMrOsCWgsFPnsvYeW26j9XuUYzADPDXEbRzRU/Y=</DigestValue>
      </Reference>
      <Reference URI="/xl/worksheets/sheet4.xml?ContentType=application/vnd.openxmlformats-officedocument.spreadsheetml.worksheet+xml">
        <DigestMethod Algorithm="http://www.w3.org/2001/04/xmlenc#sha256"/>
        <DigestValue>GaXQLFJ35AqcNN/UOd1d9LA5NkjxSS4gu8xPmqON+jc=</DigestValue>
      </Reference>
      <Reference URI="/xl/worksheets/sheet5.xml?ContentType=application/vnd.openxmlformats-officedocument.spreadsheetml.worksheet+xml">
        <DigestMethod Algorithm="http://www.w3.org/2001/04/xmlenc#sha256"/>
        <DigestValue>3taePNIAZQzxWx69TU+AEZ2l8fSlI+P2Vu349vJESkU=</DigestValue>
      </Reference>
      <Reference URI="/xl/worksheets/sheet6.xml?ContentType=application/vnd.openxmlformats-officedocument.spreadsheetml.worksheet+xml">
        <DigestMethod Algorithm="http://www.w3.org/2001/04/xmlenc#sha256"/>
        <DigestValue>7rr1G184g7v3DYMMvLDS8I2FgvpTQoYD4t58l/BAP+s=</DigestValue>
      </Reference>
      <Reference URI="/xl/worksheets/sheet7.xml?ContentType=application/vnd.openxmlformats-officedocument.spreadsheetml.worksheet+xml">
        <DigestMethod Algorithm="http://www.w3.org/2001/04/xmlenc#sha256"/>
        <DigestValue>bglC0tO+j2zQGkn+/6q68OXxmavKMzZftUKUNo3GedU=</DigestValue>
      </Reference>
      <Reference URI="/xl/worksheets/sheet8.xml?ContentType=application/vnd.openxmlformats-officedocument.spreadsheetml.worksheet+xml">
        <DigestMethod Algorithm="http://www.w3.org/2001/04/xmlenc#sha256"/>
        <DigestValue>iPWJXVarZwsHvTd+K4NGt43c8Nwc1H2KwedYFU51cxM=</DigestValue>
      </Reference>
      <Reference URI="/xl/worksheets/sheet9.xml?ContentType=application/vnd.openxmlformats-officedocument.spreadsheetml.worksheet+xml">
        <DigestMethod Algorithm="http://www.w3.org/2001/04/xmlenc#sha256"/>
        <DigestValue>KWksRvzMwTYGAyfIderbnZrG04RJfMjjnntFmOB5YEk=</DigestValue>
      </Reference>
    </Manifest>
    <SignatureProperties>
      <SignatureProperty Id="idSignatureTime" Target="#idPackageSignature">
        <mdssi:SignatureTime xmlns:mdssi="http://schemas.openxmlformats.org/package/2006/digital-signature">
          <mdssi:Format>YYYY-MM-DDThh:mm:ssTZD</mdssi:Format>
          <mdssi:Value>2023-12-22T13:56:07Z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10.0</WindowsVersion>
          <OfficeVersion>16.0.17029/26</OfficeVersion>
          <ApplicationVersion>16.0.17029</ApplicationVersion>
          <Monitors>1</Monitors>
          <HorizontalResolution>3840</HorizontalResolution>
          <VerticalResolution>2160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2023-12-22T13:56:07Z</xd:SigningTime>
          <xd:SigningCertificate>
            <xd:Cert>
              <xd:CertDigest>
                <DigestMethod Algorithm="http://www.w3.org/2001/04/xmlenc#sha256"/>
                <DigestValue>9CqlcYZU+h+a6OEYsaDhcKSas65fQf4/qf+iXcOEqSc=</DigestValue>
              </xd:CertDigest>
              <xd:IssuerSerial>
                <X509IssuerName>CN=NBG Class 2 INT Sub CA, DC=nbg, DC=ge</X509IssuerName>
                <X509SerialNumber>139674568756012247038145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2595CCDF-BB96-4237-A261-C57CFDD81EB6}">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2023-12-18T15:42:32Z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