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E37157F7-D40C-4AD9-8E56-5AD2B5E9DD06}" xr6:coauthVersionLast="47" xr6:coauthVersionMax="47" xr10:uidLastSave="{00000000-0000-0000-0000-000000000000}"/>
  <bookViews>
    <workbookView xWindow="-108" yWindow="-108" windowWidth="23256" windowHeight="12576" tabRatio="951" firstSheet="15" activeTab="2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97" l="1"/>
  <c r="H9" i="97"/>
  <c r="H10" i="97"/>
  <c r="H11" i="97"/>
  <c r="H12" i="97"/>
  <c r="H13" i="97"/>
  <c r="H14" i="97"/>
  <c r="H15" i="97"/>
  <c r="H16" i="97"/>
  <c r="H17" i="97"/>
  <c r="H18" i="97"/>
  <c r="H19" i="97"/>
  <c r="H20" i="97"/>
  <c r="H21" i="97"/>
  <c r="H22" i="97"/>
  <c r="H23" i="97"/>
  <c r="H24" i="97"/>
  <c r="H25" i="97"/>
  <c r="H26" i="97"/>
  <c r="H27" i="97"/>
  <c r="H28" i="97"/>
  <c r="H29" i="97"/>
  <c r="H30" i="97"/>
  <c r="H31" i="97"/>
  <c r="H32" i="97"/>
  <c r="H33" i="97"/>
  <c r="R13" i="104"/>
  <c r="Q13" i="104"/>
  <c r="P13" i="104"/>
  <c r="O13" i="104"/>
  <c r="N13" i="104"/>
  <c r="L13" i="104"/>
  <c r="K13" i="104"/>
  <c r="J13" i="104"/>
  <c r="I13" i="104"/>
  <c r="G13" i="104"/>
  <c r="F13" i="104"/>
  <c r="E13" i="104"/>
  <c r="D13" i="104"/>
  <c r="C22" i="101" l="1"/>
  <c r="D8" i="97" l="1"/>
  <c r="D7" i="97"/>
  <c r="E22" i="96" l="1"/>
  <c r="D21" i="95" l="1"/>
  <c r="F10" i="80" l="1"/>
  <c r="C12" i="80" l="1"/>
  <c r="F15" i="74" l="1"/>
  <c r="G8" i="92" l="1"/>
  <c r="M20" i="104" l="1"/>
  <c r="H20" i="104"/>
  <c r="C20" i="104"/>
  <c r="R19" i="104" l="1"/>
  <c r="U10" i="101" l="1"/>
  <c r="C18" i="100"/>
  <c r="C17" i="100"/>
  <c r="C21" i="100"/>
  <c r="C20" i="100"/>
  <c r="C19" i="100"/>
  <c r="C16" i="100"/>
  <c r="C14" i="100"/>
  <c r="C13" i="100"/>
  <c r="D15" i="100"/>
  <c r="C15" i="100" s="1"/>
  <c r="C8" i="100" l="1"/>
  <c r="C7" i="79"/>
  <c r="C18" i="101" l="1"/>
  <c r="C19" i="101"/>
  <c r="C20" i="101"/>
  <c r="C21" i="101"/>
  <c r="C17" i="101"/>
  <c r="C12" i="101"/>
  <c r="C13" i="101"/>
  <c r="C14" i="101"/>
  <c r="C15" i="101"/>
  <c r="C11" i="101"/>
  <c r="C9" i="101"/>
  <c r="Q19" i="104" l="1"/>
  <c r="L19" i="104"/>
  <c r="G19" i="104"/>
  <c r="K19" i="104" l="1"/>
  <c r="J19" i="104"/>
  <c r="I19" i="104"/>
  <c r="F19" i="104"/>
  <c r="E19" i="104"/>
  <c r="D19" i="104"/>
  <c r="G35" i="80" l="1"/>
  <c r="F33" i="80"/>
  <c r="E33" i="80"/>
  <c r="D33" i="80"/>
  <c r="C33" i="80"/>
  <c r="G16" i="80" l="1"/>
  <c r="G9" i="80"/>
  <c r="H32" i="102" l="1"/>
  <c r="H8" i="102"/>
  <c r="H9" i="102"/>
  <c r="H10" i="102"/>
  <c r="H11" i="102"/>
  <c r="H12" i="102"/>
  <c r="H13" i="102"/>
  <c r="H14" i="102"/>
  <c r="H15" i="102"/>
  <c r="H16" i="102"/>
  <c r="H17" i="102"/>
  <c r="H18" i="102"/>
  <c r="H19" i="102"/>
  <c r="H20" i="102"/>
  <c r="H21" i="102"/>
  <c r="H22" i="102"/>
  <c r="H23" i="102"/>
  <c r="H24" i="102"/>
  <c r="H25" i="102"/>
  <c r="H26" i="102"/>
  <c r="H27" i="102"/>
  <c r="H28" i="102"/>
  <c r="H29" i="102"/>
  <c r="H30" i="102"/>
  <c r="H31" i="102"/>
  <c r="C32" i="102"/>
  <c r="D22" i="96" l="1"/>
  <c r="G37" i="93" l="1"/>
  <c r="F37" i="93"/>
  <c r="G6" i="93"/>
  <c r="F6" i="93"/>
  <c r="D6" i="93" l="1"/>
  <c r="C6" i="93"/>
  <c r="N19" i="104" l="1"/>
  <c r="O19" i="104"/>
  <c r="P19" i="104"/>
  <c r="C22" i="96"/>
  <c r="C19" i="6" l="1"/>
  <c r="C20" i="6"/>
  <c r="C18" i="6"/>
  <c r="M18" i="104" l="1"/>
  <c r="M17" i="104"/>
  <c r="M16" i="104"/>
  <c r="M15" i="104"/>
  <c r="M14" i="104"/>
  <c r="M13" i="104"/>
  <c r="M12" i="104"/>
  <c r="M11" i="104"/>
  <c r="M10" i="104"/>
  <c r="M9" i="104"/>
  <c r="M8" i="104"/>
  <c r="M7" i="104"/>
  <c r="H7" i="104"/>
  <c r="H8" i="104"/>
  <c r="H9" i="104"/>
  <c r="H10" i="104"/>
  <c r="H11" i="104"/>
  <c r="H12" i="104"/>
  <c r="H13" i="104"/>
  <c r="H14" i="104"/>
  <c r="H15" i="104"/>
  <c r="H16" i="104"/>
  <c r="H17" i="104"/>
  <c r="H18" i="104"/>
  <c r="C7" i="104"/>
  <c r="C8" i="104"/>
  <c r="C9" i="104"/>
  <c r="C10" i="104"/>
  <c r="C11" i="104"/>
  <c r="C12" i="104"/>
  <c r="C14" i="104"/>
  <c r="C15" i="104"/>
  <c r="C16" i="104"/>
  <c r="C17" i="104"/>
  <c r="C18" i="104"/>
  <c r="C13" i="104" l="1"/>
  <c r="H19" i="104"/>
  <c r="C19" i="104"/>
  <c r="M19" i="104"/>
  <c r="G36" i="80" l="1"/>
  <c r="G34" i="80"/>
  <c r="G33" i="80" s="1"/>
  <c r="G31" i="80"/>
  <c r="G30" i="80"/>
  <c r="G29" i="80"/>
  <c r="G26" i="80"/>
  <c r="G15" i="80" l="1"/>
  <c r="G10" i="80"/>
  <c r="G13" i="80"/>
  <c r="G12" i="80"/>
  <c r="E29" i="92" l="1"/>
  <c r="E20" i="92"/>
  <c r="E21" i="92"/>
  <c r="E17" i="72" l="1"/>
  <c r="E18" i="72"/>
  <c r="E19" i="72"/>
  <c r="E21" i="72"/>
  <c r="E22" i="72"/>
  <c r="E23" i="72"/>
  <c r="E24" i="72"/>
  <c r="E26" i="72"/>
  <c r="E27" i="72"/>
  <c r="E29" i="72"/>
  <c r="E30" i="72"/>
  <c r="E32" i="72"/>
  <c r="E33" i="72"/>
  <c r="E34" i="72"/>
  <c r="E35" i="72"/>
  <c r="E36" i="72"/>
  <c r="E10" i="72"/>
  <c r="E11" i="72"/>
  <c r="E12" i="72"/>
  <c r="E13" i="72"/>
  <c r="E14" i="72"/>
  <c r="E15" i="72"/>
  <c r="E9" i="72"/>
  <c r="H9" i="74"/>
  <c r="H10" i="74"/>
  <c r="H11" i="74"/>
  <c r="H12" i="74"/>
  <c r="H13" i="74"/>
  <c r="H14" i="74"/>
  <c r="H15" i="74"/>
  <c r="H16" i="74"/>
  <c r="H17" i="74"/>
  <c r="H18" i="74"/>
  <c r="H19" i="74"/>
  <c r="H20" i="74"/>
  <c r="H21" i="74"/>
  <c r="H8" i="74"/>
  <c r="C22" i="74"/>
  <c r="F17" i="94" l="1"/>
  <c r="C8" i="101" l="1"/>
  <c r="D10" i="101" l="1"/>
  <c r="E10" i="101"/>
  <c r="F10" i="101"/>
  <c r="G10" i="101"/>
  <c r="H10" i="101"/>
  <c r="I10" i="101"/>
  <c r="J10" i="101"/>
  <c r="K10" i="101"/>
  <c r="L10" i="101"/>
  <c r="M10" i="101"/>
  <c r="N10" i="101"/>
  <c r="O10" i="101"/>
  <c r="P10" i="101"/>
  <c r="Q10" i="101"/>
  <c r="R10" i="101"/>
  <c r="S10" i="101"/>
  <c r="T10" i="101"/>
  <c r="X10" i="101"/>
  <c r="Y10" i="101"/>
  <c r="Z10" i="101"/>
  <c r="AA10" i="101"/>
  <c r="C10" i="101"/>
  <c r="L33" i="102" l="1"/>
  <c r="K33" i="102"/>
  <c r="J33" i="102"/>
  <c r="I33" i="102"/>
  <c r="E33" i="102"/>
  <c r="F33" i="102"/>
  <c r="G33" i="102"/>
  <c r="D33"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7" i="102"/>
  <c r="C33" i="102" l="1"/>
  <c r="H33" i="102"/>
  <c r="C27" i="100"/>
  <c r="C22" i="100" s="1"/>
  <c r="E15" i="100" l="1"/>
  <c r="F15" i="100"/>
  <c r="G15" i="100"/>
  <c r="H15" i="100"/>
  <c r="I15" i="100"/>
  <c r="J15" i="100"/>
  <c r="K15" i="100"/>
  <c r="L15" i="100"/>
  <c r="M15" i="100"/>
  <c r="N15" i="100"/>
  <c r="O15" i="100"/>
  <c r="P15" i="100"/>
  <c r="Q15" i="100"/>
  <c r="R15" i="100"/>
  <c r="S15" i="100"/>
  <c r="T15" i="100"/>
  <c r="U15" i="100"/>
  <c r="V15" i="100"/>
  <c r="W15" i="100"/>
  <c r="X15" i="100"/>
  <c r="Y15" i="100"/>
  <c r="Z15" i="100"/>
  <c r="AA15" i="100"/>
  <c r="D8" i="100" l="1"/>
  <c r="E8" i="100"/>
  <c r="F8" i="100"/>
  <c r="G8" i="100"/>
  <c r="I8" i="100"/>
  <c r="J8" i="100"/>
  <c r="K8" i="100"/>
  <c r="M8" i="100"/>
  <c r="N8" i="100"/>
  <c r="O8" i="100"/>
  <c r="P8" i="100"/>
  <c r="Q8" i="100"/>
  <c r="R8" i="100"/>
  <c r="S8" i="100"/>
  <c r="U8" i="100"/>
  <c r="V8" i="100"/>
  <c r="W8" i="100"/>
  <c r="X8" i="100"/>
  <c r="Y8" i="100"/>
  <c r="Z8" i="100"/>
  <c r="AA8" i="100"/>
  <c r="T8" i="100"/>
  <c r="L8" i="100"/>
  <c r="H8" i="100" l="1"/>
  <c r="C7" i="37" l="1"/>
  <c r="J23" i="36"/>
  <c r="I23" i="36"/>
  <c r="K23" i="36" s="1"/>
  <c r="G23" i="36"/>
  <c r="F23" i="36"/>
  <c r="H23" i="36" s="1"/>
  <c r="J21" i="36"/>
  <c r="I21" i="36"/>
  <c r="G21" i="36"/>
  <c r="F21" i="36"/>
  <c r="D21" i="36"/>
  <c r="C21" i="36"/>
  <c r="K19" i="36"/>
  <c r="K21" i="36" s="1"/>
  <c r="H19" i="36"/>
  <c r="H21" i="36" s="1"/>
  <c r="E19" i="36"/>
  <c r="E21" i="36" s="1"/>
  <c r="J16" i="36"/>
  <c r="I16" i="36"/>
  <c r="G16" i="36"/>
  <c r="F16" i="36"/>
  <c r="D16" i="36"/>
  <c r="C16" i="36"/>
  <c r="K11" i="36"/>
  <c r="K12" i="36"/>
  <c r="K13" i="36"/>
  <c r="K14" i="36"/>
  <c r="K15" i="36"/>
  <c r="K10" i="36"/>
  <c r="H11" i="36"/>
  <c r="H12" i="36"/>
  <c r="H13" i="36"/>
  <c r="H14" i="36"/>
  <c r="H15" i="36"/>
  <c r="H10" i="36"/>
  <c r="E11" i="36"/>
  <c r="E12" i="36"/>
  <c r="E13" i="36"/>
  <c r="E14" i="36"/>
  <c r="E15" i="36"/>
  <c r="E10" i="36"/>
  <c r="K8" i="36"/>
  <c r="H8" i="36"/>
  <c r="K16" i="36" l="1"/>
  <c r="H16" i="36"/>
  <c r="E16" i="36"/>
  <c r="I24" i="36"/>
  <c r="I25" i="36" s="1"/>
  <c r="J24" i="36"/>
  <c r="J25" i="36" s="1"/>
  <c r="F24" i="36"/>
  <c r="G24" i="36"/>
  <c r="G25" i="36" s="1"/>
  <c r="H24" i="36" l="1"/>
  <c r="H25" i="36" s="1"/>
  <c r="K24" i="36"/>
  <c r="K25" i="36" s="1"/>
  <c r="F25" i="36"/>
  <c r="B1" i="94"/>
  <c r="B1" i="93"/>
  <c r="B1" i="92"/>
  <c r="B1" i="104" l="1"/>
  <c r="B1" i="103"/>
  <c r="B1" i="102"/>
  <c r="B1" i="101"/>
  <c r="B1" i="100"/>
  <c r="B1" i="99"/>
  <c r="B1" i="98"/>
  <c r="B1" i="97"/>
  <c r="B1" i="96"/>
  <c r="B1" i="95"/>
  <c r="C10" i="99" l="1"/>
  <c r="C18" i="99" s="1"/>
  <c r="C7" i="98"/>
  <c r="C10" i="98"/>
  <c r="H7" i="97"/>
  <c r="C34" i="97"/>
  <c r="D34" i="97"/>
  <c r="E34" i="97"/>
  <c r="F34" i="97"/>
  <c r="G34" i="97"/>
  <c r="H7" i="96"/>
  <c r="H8" i="96"/>
  <c r="H9" i="96"/>
  <c r="H10" i="96"/>
  <c r="H11" i="96"/>
  <c r="H12" i="96"/>
  <c r="H13" i="96"/>
  <c r="H14" i="96"/>
  <c r="H15" i="96"/>
  <c r="H16" i="96"/>
  <c r="H17" i="96"/>
  <c r="H18" i="96"/>
  <c r="H19" i="96"/>
  <c r="H20" i="96"/>
  <c r="H21" i="96" s="1"/>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2" i="95"/>
  <c r="C67" i="69"/>
  <c r="C62" i="69"/>
  <c r="C58" i="69"/>
  <c r="C46" i="69"/>
  <c r="C40" i="69"/>
  <c r="C29" i="69"/>
  <c r="C26" i="69"/>
  <c r="C23" i="69"/>
  <c r="C18" i="69"/>
  <c r="C14" i="69"/>
  <c r="C6" i="69"/>
  <c r="D8" i="72"/>
  <c r="D37" i="72" s="1"/>
  <c r="E8" i="72"/>
  <c r="D16" i="72"/>
  <c r="D20" i="72"/>
  <c r="D25" i="72"/>
  <c r="D28" i="72"/>
  <c r="D31" i="72"/>
  <c r="C31" i="72"/>
  <c r="E31" i="72" s="1"/>
  <c r="C28" i="72"/>
  <c r="C25" i="72"/>
  <c r="E25" i="72" s="1"/>
  <c r="C20" i="72"/>
  <c r="E20" i="72" s="1"/>
  <c r="C16" i="72"/>
  <c r="E16" i="72" s="1"/>
  <c r="C8" i="72"/>
  <c r="C37" i="72" l="1"/>
  <c r="E28" i="72"/>
  <c r="E37" i="72" s="1"/>
  <c r="C52" i="69"/>
  <c r="C68" i="69" s="1"/>
  <c r="C35" i="69"/>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H37" i="93"/>
  <c r="D37" i="93"/>
  <c r="C37" i="93"/>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8" i="92"/>
  <c r="F68" i="92"/>
  <c r="H67" i="92"/>
  <c r="E67" i="92"/>
  <c r="H66" i="92"/>
  <c r="E66" i="92"/>
  <c r="H65" i="92"/>
  <c r="E65" i="92"/>
  <c r="H64" i="92"/>
  <c r="E64" i="92"/>
  <c r="H63" i="92"/>
  <c r="D63" i="92"/>
  <c r="C63" i="92"/>
  <c r="E63" i="92" s="1"/>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G47" i="92"/>
  <c r="F47" i="92"/>
  <c r="D47" i="92"/>
  <c r="C47" i="92"/>
  <c r="H46" i="92"/>
  <c r="E46" i="92"/>
  <c r="H45" i="92"/>
  <c r="E45" i="92"/>
  <c r="H44" i="92"/>
  <c r="E44" i="92"/>
  <c r="H43" i="92"/>
  <c r="E43" i="92"/>
  <c r="H42" i="92"/>
  <c r="E42" i="92"/>
  <c r="G41" i="92"/>
  <c r="F41" i="92"/>
  <c r="D41" i="92"/>
  <c r="D53" i="92" s="1"/>
  <c r="C41" i="92"/>
  <c r="H40" i="92"/>
  <c r="E40" i="92"/>
  <c r="H39" i="92"/>
  <c r="E39" i="92"/>
  <c r="H38" i="92"/>
  <c r="E38" i="92"/>
  <c r="H35" i="92"/>
  <c r="E35" i="92"/>
  <c r="H34" i="92"/>
  <c r="E34" i="92"/>
  <c r="H33" i="92"/>
  <c r="E33" i="92"/>
  <c r="H32" i="92"/>
  <c r="E32" i="92"/>
  <c r="H31" i="92"/>
  <c r="E31" i="92"/>
  <c r="G30" i="92"/>
  <c r="F30" i="92"/>
  <c r="H30" i="92" s="1"/>
  <c r="D30" i="92"/>
  <c r="C30" i="92"/>
  <c r="H29" i="92"/>
  <c r="H28" i="92"/>
  <c r="E28" i="92"/>
  <c r="G27" i="92"/>
  <c r="F27" i="92"/>
  <c r="D27" i="92"/>
  <c r="C27" i="92"/>
  <c r="E27" i="92" s="1"/>
  <c r="H26" i="92"/>
  <c r="E26" i="92"/>
  <c r="H25" i="92"/>
  <c r="E25" i="92"/>
  <c r="G24" i="92"/>
  <c r="F24" i="92"/>
  <c r="D24" i="92"/>
  <c r="C24" i="92"/>
  <c r="E24" i="92" s="1"/>
  <c r="H23" i="92"/>
  <c r="E23" i="92"/>
  <c r="H22" i="92"/>
  <c r="E22" i="92"/>
  <c r="H21" i="92"/>
  <c r="H20" i="92"/>
  <c r="G19" i="92"/>
  <c r="F19" i="92"/>
  <c r="D19" i="92"/>
  <c r="C19" i="92"/>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E47" i="92" l="1"/>
  <c r="C36" i="92"/>
  <c r="E37" i="93"/>
  <c r="E13" i="93"/>
  <c r="C43" i="93"/>
  <c r="C45" i="93" s="1"/>
  <c r="E41" i="92"/>
  <c r="E38" i="94"/>
  <c r="H13" i="93"/>
  <c r="H41" i="92"/>
  <c r="H27" i="92"/>
  <c r="H19" i="92"/>
  <c r="H7" i="92"/>
  <c r="E19" i="92"/>
  <c r="C68" i="92"/>
  <c r="E6" i="93"/>
  <c r="F36" i="92"/>
  <c r="D68" i="92"/>
  <c r="D69" i="92" s="1"/>
  <c r="F43" i="93"/>
  <c r="F45" i="93" s="1"/>
  <c r="G43" i="93"/>
  <c r="G45" i="93" s="1"/>
  <c r="G36" i="92"/>
  <c r="G53" i="92"/>
  <c r="G69" i="92" s="1"/>
  <c r="D36" i="92"/>
  <c r="E30" i="92"/>
  <c r="H47" i="92"/>
  <c r="H8" i="94"/>
  <c r="E8" i="94"/>
  <c r="E14" i="94"/>
  <c r="H38" i="94"/>
  <c r="E30" i="94"/>
  <c r="E11" i="94"/>
  <c r="E17" i="94"/>
  <c r="H11" i="94"/>
  <c r="H14" i="94"/>
  <c r="H6" i="93"/>
  <c r="D43" i="93"/>
  <c r="D45" i="93" s="1"/>
  <c r="C53" i="92"/>
  <c r="H68" i="92"/>
  <c r="F53" i="92"/>
  <c r="F69" i="92" s="1"/>
  <c r="E7" i="92"/>
  <c r="H24" i="92"/>
  <c r="H69" i="92" l="1"/>
  <c r="H45" i="93"/>
  <c r="H43" i="93"/>
  <c r="E36" i="92"/>
  <c r="H36" i="92"/>
  <c r="H53" i="92"/>
  <c r="E68" i="92"/>
  <c r="E45" i="93"/>
  <c r="E43" i="93"/>
  <c r="C69" i="92"/>
  <c r="E69" i="92" s="1"/>
  <c r="C6" i="79" s="1"/>
  <c r="C8" i="79" s="1"/>
  <c r="E53" i="92"/>
  <c r="B1" i="80" l="1"/>
  <c r="G24"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C12" i="79" s="1"/>
  <c r="C18" i="79" s="1"/>
  <c r="N7" i="37"/>
  <c r="N21" i="37" s="1"/>
  <c r="K7" i="37"/>
  <c r="K21" i="37" s="1"/>
  <c r="C36" i="79" l="1"/>
  <c r="C38" i="79" s="1"/>
  <c r="C5" i="73"/>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G37" i="80"/>
  <c r="G39" i="8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tc={53511128-8993-4BD1-9DE7-A4CEEA2EB73C}</author>
    <author>tc={DB11A62C-E871-4388-8BDA-97223CF759C1}</author>
  </authors>
  <commentList>
    <comment ref="F10" authorId="0" shapeId="0" xr:uid="{53511128-8993-4BD1-9DE7-A4CEEA2EB73C}">
      <text>
        <t>[Threaded comment]
Your version of Excel allows you to read this threaded comment; however, any edits to it will get removed if the file is opened in a newer version of Excel. Learn more: https://go.microsoft.com/fwlink/?linkid=870924
Comment:
    აკლდება ფინკას სუბ სესხის სამართლ ღირ-ბის კორექტირება</t>
      </text>
    </comment>
    <comment ref="C12" authorId="1" shapeId="0" xr:uid="{DB11A62C-E871-4388-8BDA-97223CF759C1}">
      <text>
        <t>[Threaded comment]
Your version of Excel allows you to read this threaded comment; however, any edits to it will get removed if the file is opened in a newer version of Excel. Learn more: https://go.microsoft.com/fwlink/?linkid=870924
Comment:
    აქ დაემატა მიმდინარე ანგარიშები სადებეტო ბარათის და დრობ დაუნები და აშ ანუ 45-ე კლასის ანგარიშები</t>
      </text>
    </comment>
  </commentList>
</comments>
</file>

<file path=xl/sharedStrings.xml><?xml version="1.0" encoding="utf-8"?>
<sst xmlns="http://schemas.openxmlformats.org/spreadsheetml/2006/main" count="1597" uniqueCount="1000">
  <si>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</si>
  <si>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</si>
  <si>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</si>
  <si>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</si>
  <si>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</si>
  <si>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</si>
  <si>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</si>
  <si>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</si>
  <si>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</si>
  <si>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</si>
  <si>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</si>
  <si>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</si>
  <si>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</si>
  <si>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</si>
  <si>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</si>
  <si>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</si>
  <si>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</si>
  <si>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</si>
  <si>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</si>
  <si>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</si>
  <si>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</si>
  <si>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</si>
  <si>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</si>
  <si>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</si>
  <si>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</si>
  <si>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</si>
  <si>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</si>
  <si>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</si>
  <si>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</si>
  <si>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</si>
  <si>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</si>
  <si>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</si>
  <si>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</si>
  <si>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</si>
  <si>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</si>
  <si>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</si>
  <si>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</si>
  <si>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</si>
  <si>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</si>
  <si>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</si>
  <si>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</si>
  <si>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</si>
  <si>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</si>
  <si>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</si>
  <si>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</si>
  <si>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</si>
  <si>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</si>
  <si>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</si>
  <si>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</si>
  <si>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</si>
  <si>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</si>
  <si>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</si>
  <si>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</si>
  <si>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</si>
  <si>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</si>
  <si>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</si>
  <si>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</si>
  <si>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</si>
  <si>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</si>
  <si>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</si>
  <si>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</si>
  <si>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</si>
  <si>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</si>
  <si>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</si>
  <si>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</si>
  <si>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</si>
  <si>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</si>
  <si>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</si>
  <si>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</si>
  <si>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</si>
  <si>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</si>
  <si>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</si>
  <si>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</si>
  <si>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</si>
  <si>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</si>
  <si>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</si>
  <si>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</si>
  <si>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</si>
  <si>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</si>
  <si>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</si>
  <si>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</si>
  <si>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</si>
  <si>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</si>
  <si>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</si>
  <si>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</si>
  <si>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</si>
  <si>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</si>
  <si>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</si>
  <si>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</si>
  <si>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</si>
  <si>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</si>
  <si>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</si>
  <si>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</si>
  <si>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</si>
  <si>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</si>
  <si>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</si>
  <si>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</si>
  <si>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</si>
  <si>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</si>
  <si>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</si>
  <si>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</si>
  <si>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</si>
  <si>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</si>
  <si>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</si>
  <si>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</si>
  <si>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</si>
  <si>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</si>
  <si>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</si>
  <si>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</si>
  <si>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</si>
  <si>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</si>
  <si>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</si>
  <si>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</si>
  <si>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</si>
  <si>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</si>
  <si>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</si>
  <si>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</si>
  <si>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</si>
  <si>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</si>
  <si>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</si>
  <si>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</si>
  <si>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</si>
  <si>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</si>
  <si>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</si>
  <si>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</si>
  <si>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</si>
  <si>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</si>
  <si>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</si>
  <si>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</si>
  <si>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</si>
  <si>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</si>
  <si>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</si>
  <si>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</si>
  <si>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</si>
  <si>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</si>
  <si>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</si>
  <si>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</si>
  <si>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</si>
  <si>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</si>
  <si>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</si>
  <si>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</si>
  <si>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</si>
  <si>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</si>
  <si>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</si>
  <si>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</si>
  <si>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</si>
  <si>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</si>
  <si>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</si>
  <si>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</si>
  <si>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</si>
  <si>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</si>
  <si>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</si>
  <si>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</si>
  <si>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</si>
  <si>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</si>
  <si>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</si>
  <si>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</si>
  <si>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</si>
  <si>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</si>
  <si>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</si>
  <si>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</si>
  <si>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</si>
  <si>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</si>
  <si>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</si>
  <si>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</si>
  <si>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</si>
  <si>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</si>
  <si>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</si>
  <si>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</si>
  <si>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</si>
  <si>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</si>
  <si>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</si>
  <si>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</si>
  <si>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</si>
  <si>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</si>
  <si>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</si>
  <si>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</si>
  <si>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</si>
  <si>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</si>
  <si>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</si>
  <si>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</si>
  <si>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</si>
  <si>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</si>
  <si>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</si>
  <si>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</si>
  <si>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</si>
  <si>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</si>
  <si>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</si>
  <si>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</si>
  <si>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</si>
  <si>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</si>
  <si>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</si>
  <si>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</si>
  <si>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</si>
  <si>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</si>
  <si>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</si>
  <si>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</si>
  <si>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</si>
  <si>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</si>
  <si>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</si>
  <si>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</si>
  <si>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</si>
  <si>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</si>
  <si>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</si>
  <si>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</si>
  <si>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</si>
  <si>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</si>
  <si>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</si>
  <si>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</si>
  <si>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</si>
  <si>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</si>
  <si>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</si>
  <si>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</si>
  <si>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</si>
  <si>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</si>
  <si>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</si>
  <si>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</si>
  <si>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</si>
  <si>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</si>
  <si>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</si>
  <si>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</si>
  <si>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</si>
  <si>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</si>
  <si>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</si>
  <si>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</si>
  <si>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</si>
  <si>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</si>
  <si>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</si>
  <si>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</si>
  <si>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</si>
  <si>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</si>
  <si>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</si>
  <si>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</si>
  <si>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</si>
  <si>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</si>
  <si>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</si>
  <si>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</si>
  <si>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</si>
  <si>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</si>
  <si>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</si>
  <si>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</si>
  <si>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</si>
  <si>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</si>
  <si>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</si>
  <si>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</si>
  <si>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</si>
  <si>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</si>
  <si>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</si>
  <si>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</si>
  <si>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</si>
  <si>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</si>
  <si>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</si>
  <si>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</si>
  <si>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</si>
  <si>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</si>
  <si>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</si>
  <si>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</si>
  <si>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</si>
  <si>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</si>
  <si>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</si>
  <si>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</si>
  <si>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</si>
  <si>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</si>
  <si>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</si>
  <si>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</si>
  <si>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</si>
  <si>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</si>
  <si>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</si>
  <si>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</si>
  <si>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</si>
  <si>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</si>
  <si>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</si>
  <si>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</si>
  <si>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</si>
  <si>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</si>
  <si>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</si>
  <si>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</si>
  <si>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</si>
  <si>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</si>
  <si>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</si>
  <si>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</si>
  <si>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</si>
  <si>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</si>
  <si>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</si>
  <si>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</si>
  <si>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</si>
  <si>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</si>
  <si>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</si>
  <si>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</si>
  <si>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</si>
  <si>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</si>
  <si>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</si>
  <si>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</si>
  <si>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</si>
  <si>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</si>
  <si>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</si>
  <si>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</si>
  <si>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</si>
  <si>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</si>
  <si>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</si>
  <si>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</si>
  <si>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</si>
  <si>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</si>
  <si>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</si>
  <si>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</si>
  <si>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</si>
  <si>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</si>
  <si>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</si>
  <si>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</si>
  <si>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</si>
  <si>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</si>
  <si>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</si>
  <si>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</si>
  <si>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</si>
  <si>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</si>
  <si>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</si>
  <si>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</si>
  <si>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</si>
  <si>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</si>
  <si>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</si>
  <si>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</si>
  <si>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</si>
  <si>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</si>
  <si>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</si>
  <si>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</si>
  <si>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</si>
  <si>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</si>
  <si>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</si>
  <si>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</si>
  <si>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</si>
  <si>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</si>
  <si>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</si>
  <si>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</si>
  <si>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</si>
  <si>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</si>
  <si>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</si>
  <si>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</si>
  <si>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</si>
  <si>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</si>
  <si>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</si>
  <si>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</si>
  <si>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</si>
  <si>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</si>
  <si>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</si>
  <si>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</si>
  <si>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</si>
  <si>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</si>
  <si>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</si>
  <si>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</si>
  <si>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</si>
  <si>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</si>
  <si>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</si>
  <si>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</si>
  <si>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</si>
  <si>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</si>
  <si>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</si>
  <si>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</si>
  <si>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</si>
  <si>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</si>
  <si>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</si>
  <si>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</si>
  <si>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</si>
  <si>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</si>
  <si>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</si>
  <si>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</si>
  <si>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</si>
  <si>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</si>
  <si>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</si>
  <si>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</si>
  <si>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</si>
  <si>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</si>
  <si>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</si>
  <si>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</si>
  <si>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</si>
  <si>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</si>
  <si>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</si>
  <si>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</si>
  <si>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</si>
  <si>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</si>
  <si>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</si>
  <si>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</si>
  <si>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</si>
  <si>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</si>
  <si>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</si>
  <si>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</si>
  <si>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</si>
  <si>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</si>
  <si>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</si>
  <si>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</si>
  <si>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</si>
  <si>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</si>
  <si>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</si>
  <si>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</si>
  <si>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</si>
  <si>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</si>
  <si>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</si>
  <si>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</si>
  <si>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</si>
  <si>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</si>
  <si>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</si>
  <si>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</si>
  <si>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</si>
  <si>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</si>
  <si>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</si>
  <si>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</si>
  <si>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</si>
  <si>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</si>
  <si>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</si>
  <si>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</si>
  <si>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</si>
  <si>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</si>
  <si>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</si>
  <si>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</si>
  <si>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</si>
  <si>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</si>
  <si>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</si>
  <si>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</si>
  <si>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</si>
  <si>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</si>
  <si>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</si>
  <si>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</si>
  <si>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</si>
  <si>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</si>
  <si>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</si>
  <si>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</si>
  <si>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</si>
  <si>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</si>
  <si>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</si>
  <si>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</si>
  <si>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</si>
  <si>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</si>
  <si>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</si>
  <si>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</si>
  <si>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</si>
  <si>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</si>
  <si>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</si>
  <si>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</si>
  <si>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</si>
  <si>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</si>
  <si>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</si>
  <si>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</si>
  <si>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</si>
  <si>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</si>
  <si>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</si>
  <si>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</si>
  <si>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</si>
  <si>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</si>
  <si>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</si>
  <si>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</si>
  <si>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</si>
  <si>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</si>
  <si>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</si>
  <si>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</si>
  <si>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</si>
  <si>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</si>
  <si>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</si>
  <si>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</si>
  <si>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</si>
  <si>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</si>
  <si>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</si>
  <si>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</si>
  <si>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</si>
  <si>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</si>
  <si>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</si>
  <si>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</si>
  <si>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</si>
  <si>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</si>
  <si>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</si>
  <si>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</si>
  <si>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</si>
  <si>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</si>
  <si>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</si>
  <si>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</si>
  <si>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</si>
  <si>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</si>
  <si>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</si>
  <si>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</si>
  <si>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</si>
  <si>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</si>
  <si>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</si>
  <si>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</si>
  <si>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</si>
  <si>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</si>
  <si>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</si>
  <si>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</si>
  <si>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</si>
  <si>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</si>
  <si>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</si>
  <si>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</si>
  <si>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</si>
  <si>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</si>
  <si>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</si>
  <si>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</si>
  <si>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</si>
  <si>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</si>
  <si>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</si>
  <si>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</si>
  <si>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</si>
  <si>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</si>
  <si>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</si>
  <si>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</si>
  <si>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</si>
  <si>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</si>
  <si>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</si>
  <si>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</si>
  <si>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</si>
  <si>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</si>
  <si>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</si>
  <si>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</si>
  <si>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</si>
  <si>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</si>
  <si>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</si>
  <si>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</si>
  <si>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</si>
  <si>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</si>
  <si>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</si>
  <si>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</si>
  <si>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</si>
  <si>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</si>
  <si>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</si>
  <si>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</si>
  <si>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</si>
  <si>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</si>
  <si>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</si>
  <si>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</si>
  <si>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</si>
  <si>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</si>
  <si>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</si>
  <si>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</si>
  <si>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</si>
  <si>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</si>
  <si>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</si>
  <si>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</si>
  <si>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</si>
  <si>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</si>
  <si>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</si>
  <si>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</si>
  <si>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</si>
  <si>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</si>
  <si>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</si>
  <si>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</si>
  <si>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</si>
  <si>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</si>
  <si>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</si>
  <si>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</si>
  <si>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</si>
  <si>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</si>
  <si>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</si>
  <si>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</si>
  <si>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</si>
  <si>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</si>
  <si>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</si>
  <si>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</si>
  <si>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</si>
  <si>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</si>
  <si>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</si>
  <si>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</si>
  <si>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</si>
  <si>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</si>
  <si>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</si>
  <si>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</si>
  <si>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</si>
  <si>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</si>
  <si>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</si>
  <si>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</si>
  <si>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</si>
  <si>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</si>
  <si>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</si>
  <si>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</si>
  <si>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</si>
  <si>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</si>
  <si>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</si>
  <si>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</si>
  <si>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</si>
  <si>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</si>
  <si>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</si>
  <si>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</si>
  <si>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</si>
  <si>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</si>
  <si>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</si>
  <si>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</si>
  <si>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</si>
  <si>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</si>
  <si>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</si>
  <si>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</si>
  <si>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</si>
  <si>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</si>
  <si>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</si>
  <si>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</si>
  <si>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</si>
  <si>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</si>
  <si>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</si>
  <si>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</si>
  <si>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</si>
  <si>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</si>
  <si>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</si>
  <si>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</si>
  <si>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</si>
  <si>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</si>
  <si>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</si>
  <si>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</si>
  <si>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</si>
  <si>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</si>
  <si>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</si>
  <si>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</si>
  <si>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</si>
  <si>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</si>
  <si>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</si>
  <si>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</si>
  <si>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</si>
  <si>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</si>
  <si>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</si>
  <si>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</si>
  <si>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</si>
  <si>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</si>
  <si>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</si>
  <si>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</si>
  <si>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</si>
  <si>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</si>
  <si>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</si>
  <si>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</si>
  <si>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</si>
  <si>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</si>
  <si>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</si>
  <si>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</si>
  <si>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</si>
  <si>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</si>
  <si>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</si>
  <si>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</si>
  <si>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</si>
  <si>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</si>
  <si>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</si>
  <si>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</si>
  <si>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</si>
  <si>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</si>
  <si>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</si>
  <si>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</si>
  <si>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</si>
  <si>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</si>
  <si>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</si>
  <si>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</si>
  <si>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</si>
  <si>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</si>
  <si>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</si>
  <si>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</si>
  <si>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</si>
  <si>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</si>
  <si>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</si>
  <si>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</si>
  <si>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</si>
  <si>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</si>
  <si>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</si>
  <si>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</si>
  <si>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</si>
  <si>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</si>
  <si>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</si>
  <si>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</si>
  <si>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</si>
  <si>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</si>
  <si>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</si>
  <si>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</si>
  <si>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</si>
  <si>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</si>
  <si>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</si>
  <si>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</si>
  <si>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</si>
  <si>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</si>
  <si>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</si>
  <si>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</si>
  <si>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</si>
  <si>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</si>
  <si>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</si>
  <si>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</si>
  <si>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</si>
  <si>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</si>
  <si>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</si>
  <si>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</si>
  <si>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</si>
  <si>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</si>
  <si>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</si>
  <si>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</si>
  <si>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</si>
  <si>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</si>
  <si>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</si>
  <si>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</si>
  <si>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</si>
  <si>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</si>
  <si>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</si>
  <si>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</si>
  <si>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</si>
  <si>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</si>
  <si>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</si>
  <si>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</si>
  <si>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</si>
  <si>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</si>
  <si>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</si>
  <si>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</si>
  <si>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</si>
  <si>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</si>
  <si>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</si>
  <si>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</si>
  <si>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</si>
  <si>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</si>
  <si>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</si>
  <si>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</si>
  <si>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</si>
  <si>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</si>
  <si>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</si>
  <si>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</si>
  <si>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</si>
  <si>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</si>
  <si>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</si>
  <si>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</si>
  <si>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</si>
  <si>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</si>
  <si>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</si>
  <si>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</si>
  <si>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</si>
  <si>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</si>
  <si>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</si>
  <si>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</si>
  <si>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</si>
  <si>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</si>
  <si>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</si>
  <si>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</si>
  <si>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</si>
  <si>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</si>
  <si>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</si>
  <si>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</si>
  <si>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</si>
  <si>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</si>
  <si>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</si>
  <si>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</si>
  <si>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</si>
  <si>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</si>
  <si>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</si>
  <si>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</si>
  <si>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</si>
  <si>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</si>
  <si>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</si>
  <si>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</si>
  <si>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</si>
  <si>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</si>
  <si>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</si>
  <si>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</si>
  <si>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</si>
  <si>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</si>
  <si>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</si>
  <si>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</si>
  <si>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</si>
  <si>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</si>
  <si>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</si>
  <si>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</si>
  <si>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</si>
  <si>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</si>
  <si>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</si>
  <si>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</si>
  <si>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</si>
  <si>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</si>
  <si>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</si>
  <si>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</si>
  <si>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</si>
  <si>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</si>
  <si>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</si>
  <si>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</si>
  <si>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</si>
  <si>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</si>
  <si>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</si>
  <si>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</si>
  <si>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</si>
  <si>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</si>
  <si>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</si>
  <si>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</si>
  <si>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</si>
  <si>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</si>
  <si>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</si>
  <si>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</si>
  <si>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</si>
  <si>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</si>
  <si>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</si>
  <si>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</si>
  <si>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</si>
  <si>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</si>
  <si>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</si>
  <si>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</si>
  <si>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</si>
  <si>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</si>
  <si>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</si>
  <si>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</si>
  <si>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</si>
  <si>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</si>
  <si>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</si>
  <si>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</si>
  <si>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</si>
  <si>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</si>
  <si>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</si>
  <si>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</si>
  <si>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</si>
  <si>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</si>
  <si>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</si>
  <si>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</si>
  <si>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</si>
  <si>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</si>
  <si>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</si>
  <si>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</si>
  <si>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</si>
  <si>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</si>
  <si>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</si>
  <si>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</si>
  <si>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</si>
  <si>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</si>
  <si>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</si>
  <si>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</si>
  <si>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</si>
  <si>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</si>
  <si>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</si>
  <si>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</si>
  <si>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</si>
  <si>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</si>
  <si>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</si>
  <si>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</si>
  <si>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</si>
  <si>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</si>
  <si>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</si>
  <si>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</si>
  <si>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</si>
  <si>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</si>
  <si>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</si>
  <si>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</si>
  <si>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</si>
  <si>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</si>
  <si>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</si>
  <si>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</si>
  <si>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</si>
  <si>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</si>
  <si>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</si>
  <si>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</si>
  <si>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</si>
  <si>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</si>
  <si>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</si>
  <si>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</si>
  <si>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</si>
  <si>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</si>
  <si>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</si>
  <si>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</si>
  <si>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</si>
  <si>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</si>
  <si>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</si>
  <si>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</si>
  <si>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</si>
  <si>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</si>
  <si>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</si>
  <si>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</si>
  <si>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</si>
  <si>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</si>
  <si>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</si>
  <si>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</si>
  <si>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</si>
  <si>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</si>
  <si>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</si>
  <si>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</si>
  <si>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</si>
  <si>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</si>
  <si>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</si>
  <si>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</si>
  <si>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</si>
  <si>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</si>
  <si>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</si>
  <si>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</si>
  <si>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</si>
  <si>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</si>
  <si>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</si>
  <si>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</si>
  <si>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</si>
  <si>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</si>
  <si>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</si>
  <si>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</si>
  <si>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</si>
  <si>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</si>
  <si>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</si>
  <si>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</si>
  <si>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</si>
  <si>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</si>
  <si>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</si>
  <si>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</si>
  <si>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</si>
  <si>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</si>
  <si>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</si>
  <si>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</si>
  <si>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</si>
  <si>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</si>
  <si>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</si>
  <si>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</si>
  <si>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</si>
  <si>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</si>
  <si>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</si>
  <si>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</si>
  <si>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</si>
  <si>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</si>
  <si>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</si>
  <si>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</si>
  <si>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</si>
  <si>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</si>
  <si>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</si>
  <si>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</si>
  <si>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</si>
  <si>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</si>
  <si>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</si>
  <si>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</si>
  <si>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</si>
  <si>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</si>
  <si>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</si>
  <si>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</si>
  <si>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</si>
  <si>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</si>
  <si>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</si>
  <si>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</si>
  <si>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</si>
  <si>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</si>
  <si>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</si>
  <si>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</si>
  <si>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</si>
  <si>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</si>
  <si>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</si>
  <si>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</si>
  <si>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</si>
  <si>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</si>
  <si>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</si>
  <si>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</si>
  <si>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</si>
  <si>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</si>
  <si>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</si>
  <si>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</si>
  <si>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</si>
  <si>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</si>
  <si>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</si>
  <si>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</si>
  <si>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</si>
  <si>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</si>
  <si>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</si>
  <si>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</si>
  <si>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</si>
  <si>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</si>
  <si>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</si>
  <si>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</si>
  <si>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</si>
  <si>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</si>
  <si>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</si>
  <si>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</si>
  <si>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</si>
  <si>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</si>
  <si>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</si>
  <si>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</si>
  <si>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</si>
  <si>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</si>
  <si>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</si>
  <si>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Thomas Engelhardt (Germany)</t>
  </si>
  <si>
    <t>Farah, Katia Chams (Netherlands)</t>
  </si>
  <si>
    <t>Paul-Catalin Panciu (Romania)</t>
  </si>
  <si>
    <t>დამოუკიდებელი წევრი</t>
  </si>
  <si>
    <t>Johannes Mainhardt (Germany)</t>
  </si>
  <si>
    <t>Andrew Pospielovsky (Great Britain)</t>
  </si>
  <si>
    <t>Olga Tomash (Ukraine)</t>
  </si>
  <si>
    <t>ზაალ ფირცხელავა</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</si>
  <si>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</si>
  <si>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</si>
  <si>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</si>
  <si>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</si>
  <si>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</si>
  <si>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</si>
  <si>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</si>
  <si>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</si>
  <si>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</si>
  <si>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</si>
  <si>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</si>
  <si>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</si>
  <si>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</si>
  <si>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</si>
  <si>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</si>
  <si>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</si>
  <si>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</si>
  <si>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</si>
  <si>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</si>
  <si>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</si>
  <si>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</si>
  <si>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</si>
  <si>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</si>
  <si>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</si>
  <si>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</si>
  <si>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</si>
  <si>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</si>
  <si>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</si>
  <si>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</si>
  <si>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</si>
  <si>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</si>
  <si>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კრედო</t>
  </si>
  <si>
    <t>თომას ენგელჰარდტი</t>
  </si>
  <si>
    <t>www.credo.ge</t>
  </si>
  <si>
    <t>არადამოუკიდებელ წევრი</t>
  </si>
  <si>
    <t>არადამოუკიდებელ წევრი-თავმჯდომარე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</si>
</sst>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 numFmtId="196" formatCode="_(* #,##0.0000000_);_(* \(#,##0.0000000\);_(* &quot;-&quot;??_);_(@_)"/>
    <numFmt numFmtId="197" formatCode="0.0000"/>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
      <sz val="11"/>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98">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4" fillId="0" borderId="112"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2"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93"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164" fontId="4" fillId="0" borderId="15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64" fontId="4" fillId="0" borderId="155" xfId="7" applyNumberFormat="1" applyFont="1" applyBorder="1" applyAlignment="1" applyProtection="1">
      <alignment vertical="center" wrapText="1"/>
      <protection locked="0"/>
    </xf>
    <xf numFmtId="10" fontId="17" fillId="2" borderId="15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93" fontId="9" fillId="0" borderId="147" xfId="0" applyNumberFormat="1" applyFont="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9" fontId="9" fillId="0" borderId="153" xfId="20961" applyFont="1" applyFill="1" applyBorder="1" applyAlignment="1" applyProtection="1">
      <alignment vertical="center"/>
      <protection locked="0"/>
    </xf>
    <xf numFmtId="9" fontId="9" fillId="2" borderId="153" xfId="2096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64" fontId="4" fillId="0" borderId="53" xfId="7" applyNumberFormat="1" applyFont="1" applyBorder="1" applyAlignment="1">
      <alignment vertical="center"/>
    </xf>
    <xf numFmtId="164" fontId="4" fillId="0" borderId="53" xfId="0" applyNumberFormat="1" applyFont="1" applyBorder="1" applyAlignment="1">
      <alignment vertical="center"/>
    </xf>
    <xf numFmtId="164" fontId="4" fillId="0" borderId="64" xfId="0" applyNumberFormat="1" applyFont="1" applyBorder="1" applyAlignment="1">
      <alignment vertical="center"/>
    </xf>
    <xf numFmtId="164" fontId="4" fillId="0" borderId="99" xfId="7" applyNumberFormat="1" applyFont="1" applyBorder="1" applyAlignment="1">
      <alignment vertical="center"/>
    </xf>
    <xf numFmtId="164" fontId="4" fillId="0" borderId="99" xfId="0" applyNumberFormat="1" applyFont="1" applyBorder="1" applyAlignment="1">
      <alignment vertical="center"/>
    </xf>
    <xf numFmtId="164" fontId="4" fillId="0" borderId="112" xfId="0" applyNumberFormat="1" applyFont="1" applyBorder="1" applyAlignment="1">
      <alignment vertical="center"/>
    </xf>
    <xf numFmtId="164" fontId="6" fillId="0" borderId="149" xfId="7" applyNumberFormat="1" applyFont="1" applyFill="1" applyBorder="1" applyAlignment="1">
      <alignment vertical="center"/>
    </xf>
    <xf numFmtId="164" fontId="6" fillId="0" borderId="153" xfId="0"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120" fillId="0" borderId="138" xfId="7" applyNumberFormat="1" applyFont="1" applyBorder="1"/>
    <xf numFmtId="164" fontId="119" fillId="0" borderId="146" xfId="7" applyNumberFormat="1" applyFont="1" applyBorder="1"/>
    <xf numFmtId="164" fontId="116" fillId="0" borderId="146" xfId="7" applyNumberFormat="1" applyFont="1" applyBorder="1"/>
    <xf numFmtId="164" fontId="117" fillId="0" borderId="0" xfId="7" applyNumberFormat="1" applyFont="1"/>
    <xf numFmtId="164" fontId="117" fillId="0" borderId="0" xfId="0" applyNumberFormat="1" applyFont="1"/>
    <xf numFmtId="194" fontId="119" fillId="36" borderId="146" xfId="21413" applyNumberFormat="1" applyFont="1" applyFill="1" applyBorder="1"/>
    <xf numFmtId="43" fontId="119" fillId="0" borderId="146" xfId="7" applyFont="1" applyBorder="1"/>
    <xf numFmtId="164" fontId="116" fillId="0" borderId="146" xfId="0" applyNumberFormat="1" applyFont="1" applyBorder="1" applyAlignment="1">
      <alignment horizontal="left" indent="1"/>
    </xf>
    <xf numFmtId="164" fontId="116" fillId="0" borderId="146" xfId="7" applyNumberFormat="1" applyFont="1" applyBorder="1" applyAlignment="1">
      <alignment horizontal="left" indent="1"/>
    </xf>
    <xf numFmtId="164" fontId="119" fillId="0" borderId="146" xfId="0" applyNumberFormat="1" applyFont="1" applyBorder="1"/>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6" fillId="0" borderId="146" xfId="0" applyNumberFormat="1" applyFont="1" applyBorder="1" applyAlignment="1">
      <alignment horizontal="left" vertical="center" wrapText="1"/>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0" fillId="0" borderId="0" xfId="7" applyNumberFormat="1" applyFont="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9" fillId="0" borderId="146" xfId="7" applyNumberFormat="1" applyFont="1" applyBorder="1"/>
    <xf numFmtId="164" fontId="116" fillId="0" borderId="146" xfId="7" applyNumberFormat="1" applyFont="1" applyFill="1" applyBorder="1"/>
    <xf numFmtId="195" fontId="116" fillId="0" borderId="146" xfId="7" applyNumberFormat="1" applyFont="1" applyFill="1" applyBorder="1"/>
    <xf numFmtId="164" fontId="116" fillId="0" borderId="155" xfId="7" applyNumberFormat="1" applyFont="1" applyBorder="1"/>
    <xf numFmtId="164" fontId="119" fillId="0" borderId="69" xfId="0" applyNumberFormat="1" applyFont="1" applyBorder="1"/>
    <xf numFmtId="10" fontId="17" fillId="2" borderId="112" xfId="20961" applyNumberFormat="1" applyFont="1" applyFill="1" applyBorder="1" applyAlignment="1" applyProtection="1">
      <alignment vertical="center"/>
      <protection locked="0"/>
    </xf>
    <xf numFmtId="10" fontId="9" fillId="2" borderId="112"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8" xfId="7" applyNumberFormat="1" applyFont="1" applyBorder="1"/>
    <xf numFmtId="164" fontId="0" fillId="36" borderId="138" xfId="7" applyNumberFormat="1" applyFont="1" applyFill="1" applyBorder="1"/>
    <xf numFmtId="43" fontId="0" fillId="0" borderId="0" xfId="7" applyFont="1"/>
    <xf numFmtId="164" fontId="0" fillId="0" borderId="0" xfId="0" applyNumberFormat="1"/>
    <xf numFmtId="10" fontId="17" fillId="2" borderId="98"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xf>
    <xf numFmtId="164" fontId="9" fillId="2" borderId="98" xfId="7" applyNumberFormat="1" applyFont="1" applyFill="1" applyBorder="1" applyAlignment="1" applyProtection="1">
      <alignment vertical="center"/>
      <protection locked="0"/>
    </xf>
    <xf numFmtId="164" fontId="17" fillId="2" borderId="98" xfId="7"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xf>
    <xf numFmtId="9" fontId="9" fillId="2" borderId="98" xfId="20961" applyFont="1" applyFill="1" applyBorder="1" applyAlignment="1" applyProtection="1">
      <alignment vertical="center"/>
    </xf>
    <xf numFmtId="43" fontId="116" fillId="0" borderId="146" xfId="7" applyFont="1" applyFill="1" applyBorder="1" applyAlignment="1"/>
    <xf numFmtId="43" fontId="116" fillId="0" borderId="146" xfId="7" applyFont="1" applyFill="1" applyBorder="1"/>
    <xf numFmtId="164" fontId="117" fillId="0" borderId="146" xfId="7" applyNumberFormat="1" applyFont="1" applyFill="1" applyBorder="1"/>
    <xf numFmtId="9" fontId="17" fillId="2" borderId="23" xfId="20961" applyFont="1" applyFill="1" applyBorder="1" applyAlignment="1" applyProtection="1">
      <alignment vertical="center"/>
      <protection locked="0"/>
    </xf>
    <xf numFmtId="9" fontId="17" fillId="2" borderId="24" xfId="20961" applyFont="1" applyFill="1" applyBorder="1" applyAlignment="1" applyProtection="1">
      <alignment vertical="center"/>
      <protection locked="0"/>
    </xf>
    <xf numFmtId="9" fontId="9" fillId="2" borderId="112" xfId="2096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xf>
    <xf numFmtId="164" fontId="0" fillId="0" borderId="138" xfId="7" applyNumberFormat="1" applyFont="1" applyFill="1" applyBorder="1"/>
    <xf numFmtId="164" fontId="120" fillId="0" borderId="138" xfId="7" applyNumberFormat="1" applyFont="1" applyFill="1" applyBorder="1"/>
    <xf numFmtId="194" fontId="117" fillId="0" borderId="0" xfId="0" applyNumberFormat="1" applyFont="1"/>
    <xf numFmtId="43" fontId="117" fillId="0" borderId="0" xfId="0" applyNumberFormat="1" applyFont="1"/>
    <xf numFmtId="164" fontId="4" fillId="0" borderId="0" xfId="7" applyNumberFormat="1" applyFont="1"/>
    <xf numFmtId="164" fontId="4" fillId="36" borderId="24" xfId="7" applyNumberFormat="1" applyFont="1" applyFill="1" applyBorder="1"/>
    <xf numFmtId="0" fontId="7" fillId="0" borderId="3" xfId="13" applyFont="1" applyBorder="1" applyAlignment="1" applyProtection="1">
      <alignment horizontal="left" vertical="center"/>
      <protection locked="0"/>
    </xf>
    <xf numFmtId="193" fontId="0" fillId="0" borderId="0" xfId="0" applyNumberFormat="1"/>
    <xf numFmtId="165" fontId="9" fillId="2" borderId="23" xfId="20961" applyNumberFormat="1" applyFont="1" applyFill="1" applyBorder="1" applyAlignment="1" applyProtection="1">
      <alignment vertical="center"/>
      <protection locked="0"/>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12" xfId="20961" applyNumberFormat="1" applyFont="1" applyBorder="1"/>
    <xf numFmtId="10" fontId="4" fillId="0" borderId="107" xfId="20961" applyNumberFormat="1" applyFont="1" applyBorder="1"/>
    <xf numFmtId="10" fontId="113" fillId="79" borderId="98" xfId="20961" applyNumberFormat="1" applyFont="1" applyFill="1" applyBorder="1" applyAlignment="1" applyProtection="1">
      <alignment horizontal="right" vertical="center"/>
    </xf>
    <xf numFmtId="164" fontId="6" fillId="0" borderId="98" xfId="7" applyNumberFormat="1" applyFont="1" applyBorder="1"/>
    <xf numFmtId="164" fontId="6" fillId="0" borderId="98" xfId="7" applyNumberFormat="1" applyFont="1" applyBorder="1" applyAlignment="1">
      <alignment vertical="center"/>
    </xf>
    <xf numFmtId="164" fontId="6" fillId="0" borderId="98" xfId="7" applyNumberFormat="1" applyFont="1" applyFill="1" applyBorder="1"/>
    <xf numFmtId="164" fontId="6" fillId="0" borderId="98" xfId="7" applyNumberFormat="1" applyFont="1" applyFill="1" applyBorder="1" applyAlignment="1">
      <alignment vertical="center"/>
    </xf>
    <xf numFmtId="164" fontId="111" fillId="0" borderId="146" xfId="7" applyNumberFormat="1" applyFont="1" applyBorder="1"/>
    <xf numFmtId="196" fontId="9" fillId="0" borderId="146" xfId="7" applyNumberFormat="1" applyFont="1" applyBorder="1"/>
    <xf numFmtId="196" fontId="111" fillId="0" borderId="146" xfId="7" applyNumberFormat="1" applyFont="1" applyBorder="1"/>
    <xf numFmtId="196" fontId="125" fillId="0" borderId="0" xfId="7" applyNumberFormat="1" applyFont="1"/>
    <xf numFmtId="164" fontId="121" fillId="0" borderId="146" xfId="7" applyNumberFormat="1" applyFont="1" applyBorder="1"/>
    <xf numFmtId="164" fontId="121" fillId="0" borderId="147" xfId="7" applyNumberFormat="1" applyFont="1" applyBorder="1"/>
    <xf numFmtId="164" fontId="121" fillId="0" borderId="146" xfId="0" applyNumberFormat="1" applyFont="1" applyBorder="1"/>
    <xf numFmtId="164" fontId="143" fillId="0" borderId="146" xfId="7" applyNumberFormat="1" applyFont="1" applyBorder="1"/>
    <xf numFmtId="164" fontId="121" fillId="0" borderId="146" xfId="7" applyNumberFormat="1" applyFont="1" applyFill="1" applyBorder="1"/>
    <xf numFmtId="164" fontId="121" fillId="0" borderId="147" xfId="7" applyNumberFormat="1" applyFont="1" applyFill="1" applyBorder="1"/>
    <xf numFmtId="10" fontId="121" fillId="0" borderId="146" xfId="20961" applyNumberFormat="1" applyFont="1" applyBorder="1"/>
    <xf numFmtId="10" fontId="121" fillId="0" borderId="147" xfId="20961" applyNumberFormat="1" applyFont="1" applyBorder="1"/>
    <xf numFmtId="10" fontId="143" fillId="0" borderId="146" xfId="20961" applyNumberFormat="1" applyFont="1" applyBorder="1"/>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10" fontId="4" fillId="0" borderId="98" xfId="20961" applyNumberFormat="1" applyFont="1" applyFill="1" applyBorder="1" applyAlignment="1" applyProtection="1">
      <alignment horizontal="right" vertical="center" wrapText="1"/>
    </xf>
    <xf numFmtId="0" fontId="11" fillId="0" borderId="3" xfId="17" applyBorder="1" applyAlignment="1" applyProtection="1"/>
    <xf numFmtId="164" fontId="3" fillId="0" borderId="98" xfId="7" applyNumberFormat="1" applyFont="1" applyBorder="1"/>
    <xf numFmtId="43" fontId="0" fillId="0" borderId="0" xfId="0" applyNumberFormat="1"/>
    <xf numFmtId="164" fontId="3" fillId="0" borderId="138" xfId="7" applyNumberFormat="1" applyFont="1" applyBorder="1"/>
    <xf numFmtId="164" fontId="116" fillId="0" borderId="146" xfId="7" applyNumberFormat="1" applyFont="1" applyFill="1" applyBorder="1" applyAlignment="1"/>
    <xf numFmtId="43" fontId="117" fillId="0" borderId="0" xfId="7" applyFont="1" applyFill="1" applyAlignment="1"/>
    <xf numFmtId="165" fontId="9" fillId="0" borderId="146" xfId="20961" applyNumberFormat="1" applyFont="1" applyFill="1" applyBorder="1" applyAlignment="1" applyProtection="1">
      <alignment vertical="center"/>
      <protection locked="0"/>
    </xf>
    <xf numFmtId="164" fontId="119" fillId="0" borderId="156" xfId="7" applyNumberFormat="1" applyFont="1" applyBorder="1" applyAlignment="1">
      <alignment horizontal="left" wrapText="1" indent="3"/>
    </xf>
    <xf numFmtId="164" fontId="119" fillId="0" borderId="156" xfId="7" applyNumberFormat="1" applyFont="1" applyFill="1" applyBorder="1" applyAlignment="1">
      <alignment horizontal="left" indent="2"/>
    </xf>
    <xf numFmtId="164" fontId="4" fillId="0" borderId="146" xfId="7" applyNumberFormat="1" applyFont="1" applyFill="1" applyBorder="1"/>
    <xf numFmtId="164" fontId="0" fillId="0" borderId="0" xfId="7" applyNumberFormat="1" applyFont="1" applyFill="1"/>
    <xf numFmtId="164" fontId="0" fillId="0" borderId="146" xfId="7" applyNumberFormat="1" applyFont="1" applyFill="1" applyBorder="1"/>
    <xf numFmtId="164" fontId="116" fillId="0" borderId="146" xfId="0" applyNumberFormat="1" applyFont="1" applyBorder="1"/>
    <xf numFmtId="164" fontId="116" fillId="0" borderId="149" xfId="0" applyNumberFormat="1" applyFont="1" applyBorder="1"/>
    <xf numFmtId="164" fontId="9" fillId="0" borderId="146" xfId="7" applyNumberFormat="1" applyFont="1" applyFill="1" applyBorder="1"/>
    <xf numFmtId="164" fontId="4" fillId="0" borderId="127" xfId="7" applyNumberFormat="1" applyFont="1" applyFill="1" applyBorder="1"/>
    <xf numFmtId="164" fontId="4" fillId="0" borderId="0"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xf numFmtId="164" fontId="4" fillId="0" borderId="98" xfId="7" applyNumberFormat="1" applyFont="1" applyFill="1" applyBorder="1" applyAlignment="1">
      <alignment horizontal="center"/>
    </xf>
    <xf numFmtId="164" fontId="4" fillId="0" borderId="98" xfId="7" applyNumberFormat="1" applyFont="1" applyFill="1" applyBorder="1" applyAlignment="1">
      <alignment vertical="center"/>
    </xf>
    <xf numFmtId="164" fontId="4" fillId="0" borderId="112" xfId="7" applyNumberFormat="1" applyFont="1" applyFill="1" applyBorder="1"/>
    <xf numFmtId="164" fontId="116" fillId="0" borderId="0" xfId="0" applyNumberFormat="1" applyFont="1"/>
    <xf numFmtId="193" fontId="10" fillId="0" borderId="138" xfId="0" applyNumberFormat="1" applyFont="1" applyBorder="1" applyAlignment="1">
      <alignment horizontal="right"/>
    </xf>
    <xf numFmtId="43" fontId="6" fillId="0" borderId="138" xfId="7" applyFont="1" applyFill="1" applyBorder="1" applyAlignment="1">
      <alignment vertical="center" wrapText="1"/>
    </xf>
    <xf numFmtId="164" fontId="1" fillId="0" borderId="98" xfId="7" applyNumberFormat="1" applyFont="1" applyBorder="1"/>
    <xf numFmtId="3" fontId="7" fillId="0" borderId="146" xfId="5" applyNumberFormat="1" applyFont="1" applyBorder="1" applyProtection="1">
      <protection locked="0"/>
    </xf>
    <xf numFmtId="164" fontId="4" fillId="0" borderId="3" xfId="7" applyNumberFormat="1" applyFont="1" applyBorder="1"/>
    <xf numFmtId="164" fontId="113" fillId="0" borderId="98" xfId="948" applyNumberFormat="1" applyFont="1" applyFill="1" applyBorder="1" applyAlignment="1" applyProtection="1">
      <alignment horizontal="right" vertical="center"/>
    </xf>
    <xf numFmtId="164" fontId="23" fillId="0" borderId="0" xfId="7" applyNumberFormat="1" applyFont="1"/>
    <xf numFmtId="164" fontId="102" fillId="0" borderId="0" xfId="0" applyNumberFormat="1" applyFont="1"/>
    <xf numFmtId="43" fontId="4" fillId="0" borderId="127" xfId="7" applyFont="1" applyFill="1" applyBorder="1"/>
    <xf numFmtId="0" fontId="117" fillId="0" borderId="0" xfId="0" applyFont="1" applyAlignment="1">
      <alignment horizontal="right"/>
    </xf>
    <xf numFmtId="164" fontId="117" fillId="0" borderId="0" xfId="7" applyNumberFormat="1" applyFont="1" applyBorder="1"/>
    <xf numFmtId="164" fontId="120" fillId="0" borderId="0" xfId="0" applyNumberFormat="1" applyFont="1"/>
    <xf numFmtId="164" fontId="120" fillId="0" borderId="0" xfId="7" applyNumberFormat="1" applyFont="1" applyBorder="1"/>
    <xf numFmtId="164" fontId="120" fillId="0" borderId="146" xfId="7" applyNumberFormat="1" applyFont="1" applyFill="1" applyBorder="1"/>
    <xf numFmtId="0" fontId="7" fillId="0" borderId="146" xfId="13" applyFont="1" applyBorder="1" applyAlignment="1" applyProtection="1">
      <alignment wrapText="1"/>
      <protection locked="0"/>
    </xf>
    <xf numFmtId="0" fontId="7" fillId="0" borderId="3" xfId="13" applyFont="1" applyBorder="1" applyAlignment="1" applyProtection="1">
      <alignment vertical="center" wrapText="1"/>
      <protection locked="0"/>
    </xf>
    <xf numFmtId="10" fontId="9" fillId="0" borderId="98" xfId="20961" applyNumberFormat="1" applyFont="1" applyFill="1" applyBorder="1" applyAlignment="1" applyProtection="1">
      <alignment vertical="center"/>
      <protection locked="0"/>
    </xf>
    <xf numFmtId="193" fontId="24" fillId="3" borderId="20" xfId="2" applyNumberFormat="1" applyFont="1" applyFill="1" applyBorder="1" applyAlignment="1" applyProtection="1">
      <alignment vertical="top" wrapText="1"/>
      <protection locked="0"/>
    </xf>
    <xf numFmtId="43" fontId="4" fillId="0" borderId="0" xfId="7" applyFont="1" applyFill="1" applyBorder="1"/>
    <xf numFmtId="197" fontId="117" fillId="0" borderId="0" xfId="0" applyNumberFormat="1" applyFont="1"/>
    <xf numFmtId="197" fontId="117" fillId="0" borderId="0" xfId="7" applyNumberFormat="1" applyFont="1"/>
    <xf numFmtId="164" fontId="9" fillId="0" borderId="98" xfId="7" applyNumberFormat="1" applyFont="1" applyFill="1" applyBorder="1" applyAlignment="1" applyProtection="1">
      <alignment vertical="center"/>
      <protection locked="0"/>
    </xf>
    <xf numFmtId="9" fontId="9" fillId="0" borderId="98" xfId="20961" applyFont="1" applyFill="1" applyBorder="1" applyAlignment="1" applyProtection="1">
      <alignment vertical="center"/>
      <protection locked="0"/>
    </xf>
    <xf numFmtId="164" fontId="119" fillId="0" borderId="146" xfId="7" applyNumberFormat="1" applyFont="1" applyFill="1" applyBorder="1"/>
    <xf numFmtId="164" fontId="144" fillId="0" borderId="146" xfId="7" applyNumberFormat="1" applyFont="1" applyBorder="1"/>
    <xf numFmtId="1" fontId="116" fillId="0" borderId="146" xfId="0" applyNumberFormat="1" applyFont="1" applyBorder="1"/>
    <xf numFmtId="164" fontId="116" fillId="0" borderId="153" xfId="7" applyNumberFormat="1" applyFont="1" applyBorder="1"/>
    <xf numFmtId="9" fontId="121" fillId="0" borderId="146" xfId="20961" applyFont="1" applyBorder="1"/>
    <xf numFmtId="9" fontId="143" fillId="0" borderId="146" xfId="20961" applyFont="1" applyBorder="1"/>
    <xf numFmtId="9" fontId="143" fillId="0" borderId="146" xfId="20961" applyFont="1" applyFill="1" applyBorder="1"/>
    <xf numFmtId="164" fontId="143" fillId="0" borderId="146" xfId="7" applyNumberFormat="1" applyFont="1" applyFill="1" applyBorder="1"/>
    <xf numFmtId="9" fontId="121" fillId="0" borderId="146" xfId="20961" applyFont="1" applyFill="1" applyBorder="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64" fontId="0" fillId="0" borderId="99" xfId="7" applyNumberFormat="1" applyFont="1" applyBorder="1" applyAlignment="1">
      <alignment horizontal="center"/>
    </xf>
    <xf numFmtId="164" fontId="0" fillId="0" borderId="96" xfId="7" applyNumberFormat="1" applyFont="1" applyBorder="1" applyAlignment="1">
      <alignment horizontal="center"/>
    </xf>
    <xf numFmtId="164" fontId="0" fillId="0" borderId="97"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6" fillId="0" borderId="99" xfId="0" applyFont="1" applyBorder="1" applyAlignment="1">
      <alignment horizontal="left"/>
    </xf>
    <xf numFmtId="0" fontId="106" fillId="0" borderId="97" xfId="0" applyFont="1" applyBorder="1" applyAlignment="1">
      <alignment horizontal="left"/>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Border="1" applyAlignment="1">
      <alignment horizontal="center" vertical="center"/>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49" fontId="106" fillId="0" borderId="0" xfId="0" applyNumberFormat="1" applyFont="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6" xfId="0" applyFont="1" applyBorder="1" applyAlignment="1">
      <alignment horizontal="left" vertical="top" wrapText="1"/>
    </xf>
    <xf numFmtId="0" fontId="106" fillId="0" borderId="149" xfId="0" applyFont="1" applyBorder="1" applyAlignment="1">
      <alignment horizontal="left" vertical="top" wrapText="1"/>
    </xf>
    <xf numFmtId="0" fontId="106" fillId="0" borderId="146" xfId="0" applyFont="1" applyBorder="1" applyAlignment="1">
      <alignment horizontal="left" vertical="center" wrapText="1"/>
    </xf>
    <xf numFmtId="0" fontId="106" fillId="0" borderId="146" xfId="0" applyFont="1" applyBorder="1" applyAlignment="1">
      <alignment horizontal="center"/>
    </xf>
    <xf numFmtId="0" fontId="106" fillId="0" borderId="148" xfId="0" applyFont="1" applyBorder="1" applyAlignment="1">
      <alignment horizontal="left" vertical="top" wrapText="1"/>
    </xf>
    <xf numFmtId="43" fontId="117" fillId="0" borderId="0" xfId="7" applyFont="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Policies\NBG%20Reporting\ISFR%20Quarterly\2023\Transparency\Q%204\FSF-BCD-MM-20221231.xlsx" TargetMode="External"/><Relationship Id="rId1" Type="http://schemas.openxmlformats.org/officeDocument/2006/relationships/externalLinkPath" Target="FSF-BCD-MM-2022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ader"/>
      <sheetName val="Info"/>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A-D"/>
      <sheetName val="A-CP"/>
      <sheetName val="A-L"/>
      <sheetName val="A-G"/>
      <sheetName val="A-LD"/>
      <sheetName val="LCR"/>
      <sheetName val="FXD"/>
      <sheetName val="FX"/>
      <sheetName val="Capital"/>
      <sheetName val="Capital Requirements"/>
      <sheetName val="Risk Weighted Risk Exposures"/>
      <sheetName val="CR-RWA"/>
      <sheetName val="CICR Buffer"/>
      <sheetName val="HHI Buffer"/>
      <sheetName val="CRA Buffer"/>
      <sheetName val="CRM"/>
      <sheetName val="LR"/>
    </sheetNames>
    <sheetDataSet>
      <sheetData sheetId="0"/>
      <sheetData sheetId="1"/>
      <sheetData sheetId="2"/>
      <sheetData sheetId="3">
        <row r="10">
          <cell r="E10">
            <v>22614093.439999998</v>
          </cell>
          <cell r="F10">
            <v>9666804.7899999991</v>
          </cell>
          <cell r="G10">
            <v>114963.3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0" dT="2024-01-15T09:37:57.87" personId="{00000000-0000-0000-0000-000000000000}" id="{53511128-8993-4BD1-9DE7-A4CEEA2EB73C}">
    <text>აკლდება ფინკას სუბ სესხის სამართლ ღირ-ბის კორექტირება</text>
  </threadedComment>
  <threadedComment ref="C12" dT="2024-01-15T09:48:42.21" personId="{00000000-0000-0000-0000-000000000000}" id="{DB11A62C-E871-4388-8BDA-97223CF759C1}">
    <text>აქ დაემატა მიმდინარე ანგარიშები სადებეტო ბარათის და დრობ დაუნები და აშ ანუ 45-ე კლასის ანგარიშები</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21875" style="1" customWidth="1"/>
    <col min="2" max="2" width="153" bestFit="1" customWidth="1"/>
    <col min="3" max="3" width="39.44140625" customWidth="1"/>
    <col min="7" max="7" width="25" customWidth="1"/>
  </cols>
  <sheetData>
    <row r="1" spans="1:3">
      <c r="A1" s="6"/>
      <c r="B1" s="121" t="s">
        <v>159</v>
      </c>
      <c r="C1" s="47"/>
    </row>
    <row r="2" spans="1:3" s="118" customFormat="1">
      <c r="A2" s="162">
        <v>1</v>
      </c>
      <c r="B2" s="119" t="s">
        <v>160</v>
      </c>
      <c r="C2" s="117" t="s">
        <v>995</v>
      </c>
    </row>
    <row r="3" spans="1:3" s="118" customFormat="1">
      <c r="A3" s="162">
        <v>2</v>
      </c>
      <c r="B3" s="120" t="s">
        <v>161</v>
      </c>
      <c r="C3" s="117" t="s">
        <v>996</v>
      </c>
    </row>
    <row r="4" spans="1:3" s="118" customFormat="1">
      <c r="A4" s="162">
        <v>3</v>
      </c>
      <c r="B4" s="120" t="s">
        <v>162</v>
      </c>
      <c r="C4" s="117" t="s">
        <v>963</v>
      </c>
    </row>
    <row r="5" spans="1:3" s="118" customFormat="1">
      <c r="A5" s="163">
        <v>4</v>
      </c>
      <c r="B5" s="123" t="s">
        <v>163</v>
      </c>
      <c r="C5" s="762" t="s">
        <v>997</v>
      </c>
    </row>
    <row r="6" spans="1:3" s="122" customFormat="1" ht="65.25" customHeight="1">
      <c r="A6" s="817" t="s">
        <v>321</v>
      </c>
      <c r="B6" s="818"/>
      <c r="C6" s="818"/>
    </row>
    <row r="7" spans="1:3">
      <c r="A7" s="272" t="s">
        <v>251</v>
      </c>
      <c r="B7" s="273" t="s">
        <v>164</v>
      </c>
    </row>
    <row r="8" spans="1:3">
      <c r="A8" s="274">
        <v>1</v>
      </c>
      <c r="B8" s="270" t="s">
        <v>139</v>
      </c>
    </row>
    <row r="9" spans="1:3">
      <c r="A9" s="274">
        <v>2</v>
      </c>
      <c r="B9" s="270" t="s">
        <v>165</v>
      </c>
    </row>
    <row r="10" spans="1:3">
      <c r="A10" s="274">
        <v>3</v>
      </c>
      <c r="B10" s="270" t="s">
        <v>166</v>
      </c>
    </row>
    <row r="11" spans="1:3">
      <c r="A11" s="274">
        <v>4</v>
      </c>
      <c r="B11" s="270" t="s">
        <v>167</v>
      </c>
    </row>
    <row r="12" spans="1:3">
      <c r="A12" s="274">
        <v>5</v>
      </c>
      <c r="B12" s="270" t="s">
        <v>107</v>
      </c>
    </row>
    <row r="13" spans="1:3">
      <c r="A13" s="274">
        <v>6</v>
      </c>
      <c r="B13" s="275" t="s">
        <v>91</v>
      </c>
    </row>
    <row r="14" spans="1:3">
      <c r="A14" s="274">
        <v>7</v>
      </c>
      <c r="B14" s="270" t="s">
        <v>168</v>
      </c>
    </row>
    <row r="15" spans="1:3">
      <c r="A15" s="274">
        <v>8</v>
      </c>
      <c r="B15" s="270" t="s">
        <v>171</v>
      </c>
    </row>
    <row r="16" spans="1:3">
      <c r="A16" s="274">
        <v>9</v>
      </c>
      <c r="B16" s="270" t="s">
        <v>85</v>
      </c>
    </row>
    <row r="17" spans="1:2">
      <c r="A17" s="276" t="s">
        <v>378</v>
      </c>
      <c r="B17" s="270" t="s">
        <v>358</v>
      </c>
    </row>
    <row r="18" spans="1:2">
      <c r="A18" s="274">
        <v>10</v>
      </c>
      <c r="B18" s="270" t="s">
        <v>172</v>
      </c>
    </row>
    <row r="19" spans="1:2">
      <c r="A19" s="274">
        <v>11</v>
      </c>
      <c r="B19" s="275" t="s">
        <v>155</v>
      </c>
    </row>
    <row r="20" spans="1:2">
      <c r="A20" s="274">
        <v>12</v>
      </c>
      <c r="B20" s="275" t="s">
        <v>152</v>
      </c>
    </row>
    <row r="21" spans="1:2">
      <c r="A21" s="274">
        <v>13</v>
      </c>
      <c r="B21" s="277" t="s">
        <v>297</v>
      </c>
    </row>
    <row r="22" spans="1:2">
      <c r="A22" s="274">
        <v>14</v>
      </c>
      <c r="B22" s="270" t="s">
        <v>351</v>
      </c>
    </row>
    <row r="23" spans="1:2">
      <c r="A23" s="274">
        <v>15</v>
      </c>
      <c r="B23" s="270" t="s">
        <v>74</v>
      </c>
    </row>
    <row r="24" spans="1:2">
      <c r="A24" s="274">
        <v>15.1</v>
      </c>
      <c r="B24" s="270" t="s">
        <v>387</v>
      </c>
    </row>
    <row r="25" spans="1:2">
      <c r="A25" s="274">
        <v>16</v>
      </c>
      <c r="B25" s="270" t="s">
        <v>453</v>
      </c>
    </row>
    <row r="26" spans="1:2">
      <c r="A26" s="274">
        <v>17</v>
      </c>
      <c r="B26" s="270" t="s">
        <v>678</v>
      </c>
    </row>
    <row r="27" spans="1:2">
      <c r="A27" s="274">
        <v>18</v>
      </c>
      <c r="B27" s="270" t="s">
        <v>949</v>
      </c>
    </row>
    <row r="28" spans="1:2">
      <c r="A28" s="274">
        <v>19</v>
      </c>
      <c r="B28" s="270" t="s">
        <v>950</v>
      </c>
    </row>
    <row r="29" spans="1:2">
      <c r="A29" s="274">
        <v>20</v>
      </c>
      <c r="B29" s="270" t="s">
        <v>951</v>
      </c>
    </row>
    <row r="30" spans="1:2">
      <c r="A30" s="274">
        <v>21</v>
      </c>
      <c r="B30" s="270" t="s">
        <v>546</v>
      </c>
    </row>
    <row r="31" spans="1:2">
      <c r="A31" s="274">
        <v>22</v>
      </c>
      <c r="B31" s="270" t="s">
        <v>952</v>
      </c>
    </row>
    <row r="32" spans="1:2" ht="26.4">
      <c r="A32" s="274">
        <v>23</v>
      </c>
      <c r="B32" s="640" t="s">
        <v>948</v>
      </c>
    </row>
    <row r="33" spans="1:2">
      <c r="A33" s="274">
        <v>24</v>
      </c>
      <c r="B33" s="270" t="s">
        <v>953</v>
      </c>
    </row>
    <row r="34" spans="1:2">
      <c r="A34" s="274">
        <v>25</v>
      </c>
      <c r="B34" s="270" t="s">
        <v>954</v>
      </c>
    </row>
    <row r="35" spans="1:2">
      <c r="A35" s="274">
        <v>26</v>
      </c>
      <c r="B35" s="270" t="s">
        <v>726</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900B09FE-0864-4D40-82FF-77F6C11CF8D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41" activePane="bottomRight" state="frozen"/>
      <selection pane="topRight" activeCell="B1" sqref="B1"/>
      <selection pane="bottomLeft" activeCell="A5" sqref="A5"/>
      <selection pane="bottomRight" activeCell="E53" sqref="E53"/>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კრედო</v>
      </c>
      <c r="D1" s="1"/>
      <c r="E1" s="1"/>
      <c r="F1" s="1"/>
    </row>
    <row r="2" spans="1:6" s="13" customFormat="1" ht="15.75" customHeight="1">
      <c r="A2" s="13" t="s">
        <v>109</v>
      </c>
      <c r="B2" s="346">
        <f>'1. key ratios'!B2</f>
        <v>45291</v>
      </c>
    </row>
    <row r="3" spans="1:6" s="13" customFormat="1" ht="15.75" customHeight="1"/>
    <row r="4" spans="1:6" ht="15" thickBot="1">
      <c r="A4" s="1" t="s">
        <v>257</v>
      </c>
      <c r="B4" s="23" t="s">
        <v>85</v>
      </c>
    </row>
    <row r="5" spans="1:6">
      <c r="A5" s="78" t="s">
        <v>25</v>
      </c>
      <c r="B5" s="79"/>
      <c r="C5" s="80" t="s">
        <v>26</v>
      </c>
    </row>
    <row r="6" spans="1:6">
      <c r="A6" s="81">
        <v>1</v>
      </c>
      <c r="B6" s="43" t="s">
        <v>27</v>
      </c>
      <c r="C6" s="172">
        <f>SUM(C7:C11)</f>
        <v>305031958.81000561</v>
      </c>
    </row>
    <row r="7" spans="1:6">
      <c r="A7" s="81">
        <v>2</v>
      </c>
      <c r="B7" s="40" t="s">
        <v>28</v>
      </c>
      <c r="C7" s="173">
        <v>5210230</v>
      </c>
    </row>
    <row r="8" spans="1:6">
      <c r="A8" s="81">
        <v>3</v>
      </c>
      <c r="B8" s="35" t="s">
        <v>29</v>
      </c>
      <c r="C8" s="173">
        <v>37102057.82</v>
      </c>
    </row>
    <row r="9" spans="1:6">
      <c r="A9" s="81">
        <v>4</v>
      </c>
      <c r="B9" s="35" t="s">
        <v>30</v>
      </c>
      <c r="C9" s="173"/>
    </row>
    <row r="10" spans="1:6">
      <c r="A10" s="81">
        <v>5</v>
      </c>
      <c r="B10" s="35" t="s">
        <v>31</v>
      </c>
      <c r="C10" s="173"/>
    </row>
    <row r="11" spans="1:6">
      <c r="A11" s="81">
        <v>6</v>
      </c>
      <c r="B11" s="41" t="s">
        <v>32</v>
      </c>
      <c r="C11" s="173">
        <v>262719670.99000561</v>
      </c>
    </row>
    <row r="12" spans="1:6" s="2" customFormat="1">
      <c r="A12" s="81">
        <v>7</v>
      </c>
      <c r="B12" s="43" t="s">
        <v>33</v>
      </c>
      <c r="C12" s="174">
        <f>SUM(C13:C28)</f>
        <v>19302841.530000001</v>
      </c>
    </row>
    <row r="13" spans="1:6" s="2" customFormat="1">
      <c r="A13" s="81">
        <v>8</v>
      </c>
      <c r="B13" s="42" t="s">
        <v>34</v>
      </c>
      <c r="C13" s="175"/>
    </row>
    <row r="14" spans="1:6" s="2" customFormat="1" ht="27.6">
      <c r="A14" s="81">
        <v>9</v>
      </c>
      <c r="B14" s="36" t="s">
        <v>35</v>
      </c>
      <c r="C14" s="175"/>
    </row>
    <row r="15" spans="1:6" s="2" customFormat="1">
      <c r="A15" s="81">
        <v>10</v>
      </c>
      <c r="B15" s="37" t="s">
        <v>36</v>
      </c>
      <c r="C15" s="802">
        <v>19302841.530000001</v>
      </c>
    </row>
    <row r="16" spans="1:6" s="2" customFormat="1">
      <c r="A16" s="81">
        <v>11</v>
      </c>
      <c r="B16" s="38" t="s">
        <v>37</v>
      </c>
      <c r="C16" s="175"/>
    </row>
    <row r="17" spans="1:3" s="2" customFormat="1">
      <c r="A17" s="81">
        <v>12</v>
      </c>
      <c r="B17" s="37" t="s">
        <v>38</v>
      </c>
      <c r="C17" s="175"/>
    </row>
    <row r="18" spans="1:3" s="2" customFormat="1">
      <c r="A18" s="81">
        <v>13</v>
      </c>
      <c r="B18" s="37" t="s">
        <v>39</v>
      </c>
      <c r="C18" s="175"/>
    </row>
    <row r="19" spans="1:3" s="2" customFormat="1">
      <c r="A19" s="81">
        <v>14</v>
      </c>
      <c r="B19" s="37" t="s">
        <v>40</v>
      </c>
      <c r="C19" s="175"/>
    </row>
    <row r="20" spans="1:3" s="2" customFormat="1" ht="27.6">
      <c r="A20" s="81">
        <v>15</v>
      </c>
      <c r="B20" s="37" t="s">
        <v>41</v>
      </c>
      <c r="C20" s="175"/>
    </row>
    <row r="21" spans="1:3" s="2" customFormat="1" ht="27.6">
      <c r="A21" s="81">
        <v>16</v>
      </c>
      <c r="B21" s="36" t="s">
        <v>42</v>
      </c>
      <c r="C21" s="175"/>
    </row>
    <row r="22" spans="1:3" s="2" customFormat="1">
      <c r="A22" s="81">
        <v>17</v>
      </c>
      <c r="B22" s="82" t="s">
        <v>43</v>
      </c>
      <c r="C22" s="175"/>
    </row>
    <row r="23" spans="1:3" s="2" customFormat="1">
      <c r="A23" s="81">
        <v>18</v>
      </c>
      <c r="B23" s="799" t="s">
        <v>729</v>
      </c>
      <c r="C23" s="410"/>
    </row>
    <row r="24" spans="1:3" s="2" customFormat="1" ht="27.6">
      <c r="A24" s="81">
        <v>19</v>
      </c>
      <c r="B24" s="36" t="s">
        <v>44</v>
      </c>
      <c r="C24" s="175"/>
    </row>
    <row r="25" spans="1:3" s="2" customFormat="1" ht="27.6">
      <c r="A25" s="81">
        <v>20</v>
      </c>
      <c r="B25" s="36" t="s">
        <v>45</v>
      </c>
      <c r="C25" s="175"/>
    </row>
    <row r="26" spans="1:3" s="2" customFormat="1" ht="27.6">
      <c r="A26" s="81">
        <v>21</v>
      </c>
      <c r="B26" s="38" t="s">
        <v>46</v>
      </c>
      <c r="C26" s="175"/>
    </row>
    <row r="27" spans="1:3" s="2" customFormat="1">
      <c r="A27" s="81">
        <v>22</v>
      </c>
      <c r="B27" s="38" t="s">
        <v>47</v>
      </c>
      <c r="C27" s="175"/>
    </row>
    <row r="28" spans="1:3" s="2" customFormat="1" ht="27.6">
      <c r="A28" s="81">
        <v>23</v>
      </c>
      <c r="B28" s="38" t="s">
        <v>48</v>
      </c>
      <c r="C28" s="175"/>
    </row>
    <row r="29" spans="1:3" s="2" customFormat="1">
      <c r="A29" s="81">
        <v>24</v>
      </c>
      <c r="B29" s="44" t="s">
        <v>22</v>
      </c>
      <c r="C29" s="174">
        <f>C6-C12</f>
        <v>285729117.28000557</v>
      </c>
    </row>
    <row r="30" spans="1:3" s="2" customFormat="1">
      <c r="A30" s="83"/>
      <c r="B30" s="39"/>
      <c r="C30" s="175"/>
    </row>
    <row r="31" spans="1:3" s="2" customFormat="1">
      <c r="A31" s="83">
        <v>25</v>
      </c>
      <c r="B31" s="44" t="s">
        <v>49</v>
      </c>
      <c r="C31" s="174">
        <f>C32+C35</f>
        <v>0</v>
      </c>
    </row>
    <row r="32" spans="1:3" s="2" customFormat="1">
      <c r="A32" s="83">
        <v>26</v>
      </c>
      <c r="B32" s="35" t="s">
        <v>50</v>
      </c>
      <c r="C32" s="176">
        <f>C33+C34</f>
        <v>0</v>
      </c>
    </row>
    <row r="33" spans="1:3" s="2" customFormat="1">
      <c r="A33" s="83">
        <v>27</v>
      </c>
      <c r="B33" s="115" t="s">
        <v>51</v>
      </c>
      <c r="C33" s="175"/>
    </row>
    <row r="34" spans="1:3" s="2" customFormat="1">
      <c r="A34" s="83">
        <v>28</v>
      </c>
      <c r="B34" s="115" t="s">
        <v>52</v>
      </c>
      <c r="C34" s="175"/>
    </row>
    <row r="35" spans="1:3" s="2" customFormat="1">
      <c r="A35" s="83">
        <v>29</v>
      </c>
      <c r="B35" s="35" t="s">
        <v>53</v>
      </c>
      <c r="C35" s="175"/>
    </row>
    <row r="36" spans="1:3" s="2" customFormat="1">
      <c r="A36" s="83">
        <v>30</v>
      </c>
      <c r="B36" s="44" t="s">
        <v>54</v>
      </c>
      <c r="C36" s="174">
        <f>SUM(C37:C41)</f>
        <v>0</v>
      </c>
    </row>
    <row r="37" spans="1:3" s="2" customFormat="1">
      <c r="A37" s="83">
        <v>31</v>
      </c>
      <c r="B37" s="36" t="s">
        <v>55</v>
      </c>
      <c r="C37" s="175"/>
    </row>
    <row r="38" spans="1:3" s="2" customFormat="1">
      <c r="A38" s="83">
        <v>32</v>
      </c>
      <c r="B38" s="37" t="s">
        <v>56</v>
      </c>
      <c r="C38" s="175"/>
    </row>
    <row r="39" spans="1:3" s="2" customFormat="1" ht="27.6">
      <c r="A39" s="83">
        <v>33</v>
      </c>
      <c r="B39" s="36" t="s">
        <v>57</v>
      </c>
      <c r="C39" s="175"/>
    </row>
    <row r="40" spans="1:3" s="2" customFormat="1" ht="27.6">
      <c r="A40" s="83">
        <v>34</v>
      </c>
      <c r="B40" s="36" t="s">
        <v>45</v>
      </c>
      <c r="C40" s="175"/>
    </row>
    <row r="41" spans="1:3" s="2" customFormat="1" ht="27.6">
      <c r="A41" s="83">
        <v>35</v>
      </c>
      <c r="B41" s="38" t="s">
        <v>58</v>
      </c>
      <c r="C41" s="175"/>
    </row>
    <row r="42" spans="1:3" s="2" customFormat="1">
      <c r="A42" s="83">
        <v>36</v>
      </c>
      <c r="B42" s="44" t="s">
        <v>23</v>
      </c>
      <c r="C42" s="174">
        <f>C31-C36</f>
        <v>0</v>
      </c>
    </row>
    <row r="43" spans="1:3" s="2" customFormat="1">
      <c r="A43" s="83"/>
      <c r="B43" s="39"/>
      <c r="C43" s="175"/>
    </row>
    <row r="44" spans="1:3" s="2" customFormat="1">
      <c r="A44" s="83">
        <v>37</v>
      </c>
      <c r="B44" s="45" t="s">
        <v>59</v>
      </c>
      <c r="C44" s="174">
        <f>SUM(C45:C47)</f>
        <v>94580722</v>
      </c>
    </row>
    <row r="45" spans="1:3" s="2" customFormat="1">
      <c r="A45" s="83">
        <v>38</v>
      </c>
      <c r="B45" s="35" t="s">
        <v>60</v>
      </c>
      <c r="C45" s="175">
        <v>94580722</v>
      </c>
    </row>
    <row r="46" spans="1:3" s="2" customFormat="1">
      <c r="A46" s="83">
        <v>39</v>
      </c>
      <c r="B46" s="35" t="s">
        <v>61</v>
      </c>
      <c r="C46" s="175"/>
    </row>
    <row r="47" spans="1:3" s="2" customFormat="1">
      <c r="A47" s="83">
        <v>40</v>
      </c>
      <c r="B47" s="800" t="s">
        <v>728</v>
      </c>
      <c r="C47" s="175"/>
    </row>
    <row r="48" spans="1:3" s="2" customFormat="1">
      <c r="A48" s="83">
        <v>41</v>
      </c>
      <c r="B48" s="45" t="s">
        <v>62</v>
      </c>
      <c r="C48" s="174">
        <f>SUM(C49:C52)</f>
        <v>0</v>
      </c>
    </row>
    <row r="49" spans="1:3" s="2" customFormat="1">
      <c r="A49" s="83">
        <v>42</v>
      </c>
      <c r="B49" s="36" t="s">
        <v>63</v>
      </c>
      <c r="C49" s="175"/>
    </row>
    <row r="50" spans="1:3" s="2" customFormat="1">
      <c r="A50" s="83">
        <v>43</v>
      </c>
      <c r="B50" s="37" t="s">
        <v>64</v>
      </c>
      <c r="C50" s="175"/>
    </row>
    <row r="51" spans="1:3" s="2" customFormat="1" ht="27.6">
      <c r="A51" s="83">
        <v>44</v>
      </c>
      <c r="B51" s="36" t="s">
        <v>65</v>
      </c>
      <c r="C51" s="175"/>
    </row>
    <row r="52" spans="1:3" s="2" customFormat="1" ht="27.6">
      <c r="A52" s="83">
        <v>45</v>
      </c>
      <c r="B52" s="36" t="s">
        <v>45</v>
      </c>
      <c r="C52" s="175"/>
    </row>
    <row r="53" spans="1:3" s="2" customFormat="1" ht="15" thickBot="1">
      <c r="A53" s="83">
        <v>46</v>
      </c>
      <c r="B53" s="84" t="s">
        <v>24</v>
      </c>
      <c r="C53" s="177">
        <f>C44-C48</f>
        <v>94580722</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108</v>
      </c>
      <c r="B1" s="12" t="str">
        <f>Info!C2</f>
        <v>კრედო</v>
      </c>
    </row>
    <row r="2" spans="1:4" s="13" customFormat="1" ht="15.75" customHeight="1">
      <c r="A2" s="13" t="s">
        <v>109</v>
      </c>
      <c r="B2" s="346">
        <f>'1. key ratios'!B2</f>
        <v>45291</v>
      </c>
    </row>
    <row r="3" spans="1:4" s="13" customFormat="1" ht="15.75" customHeight="1"/>
    <row r="4" spans="1:4" ht="14.4" thickBot="1">
      <c r="A4" s="1" t="s">
        <v>357</v>
      </c>
      <c r="B4" s="259" t="s">
        <v>358</v>
      </c>
    </row>
    <row r="5" spans="1:4" s="31" customFormat="1">
      <c r="A5" s="853" t="s">
        <v>359</v>
      </c>
      <c r="B5" s="854"/>
      <c r="C5" s="249" t="s">
        <v>360</v>
      </c>
      <c r="D5" s="250" t="s">
        <v>361</v>
      </c>
    </row>
    <row r="6" spans="1:4" s="260" customFormat="1">
      <c r="A6" s="251">
        <v>1</v>
      </c>
      <c r="B6" s="252" t="s">
        <v>362</v>
      </c>
      <c r="C6" s="252"/>
      <c r="D6" s="253"/>
    </row>
    <row r="7" spans="1:4" s="260" customFormat="1">
      <c r="A7" s="254" t="s">
        <v>363</v>
      </c>
      <c r="B7" s="255" t="s">
        <v>364</v>
      </c>
      <c r="C7" s="303">
        <v>4.4999999999999998E-2</v>
      </c>
      <c r="D7" s="756">
        <f>C7*'5. RWA'!$C$13</f>
        <v>96864560.307198063</v>
      </c>
    </row>
    <row r="8" spans="1:4" s="260" customFormat="1">
      <c r="A8" s="254" t="s">
        <v>365</v>
      </c>
      <c r="B8" s="255" t="s">
        <v>366</v>
      </c>
      <c r="C8" s="304">
        <v>0.06</v>
      </c>
      <c r="D8" s="756">
        <f>C8*'5. RWA'!$C$13</f>
        <v>129152747.07626408</v>
      </c>
    </row>
    <row r="9" spans="1:4" s="260" customFormat="1">
      <c r="A9" s="254" t="s">
        <v>367</v>
      </c>
      <c r="B9" s="255" t="s">
        <v>368</v>
      </c>
      <c r="C9" s="304">
        <v>0.08</v>
      </c>
      <c r="D9" s="756">
        <f>C9*'5. RWA'!$C$13</f>
        <v>172203662.76835212</v>
      </c>
    </row>
    <row r="10" spans="1:4" s="260" customFormat="1">
      <c r="A10" s="251" t="s">
        <v>369</v>
      </c>
      <c r="B10" s="252" t="s">
        <v>370</v>
      </c>
      <c r="C10" s="305"/>
      <c r="D10" s="757"/>
    </row>
    <row r="11" spans="1:4" s="261" customFormat="1">
      <c r="A11" s="256" t="s">
        <v>371</v>
      </c>
      <c r="B11" s="257" t="s">
        <v>433</v>
      </c>
      <c r="C11" s="306">
        <v>2.5000000000000001E-2</v>
      </c>
      <c r="D11" s="758">
        <f>C11*'5. RWA'!$C$13</f>
        <v>53813644.61511004</v>
      </c>
    </row>
    <row r="12" spans="1:4" s="261" customFormat="1">
      <c r="A12" s="256" t="s">
        <v>372</v>
      </c>
      <c r="B12" s="257" t="s">
        <v>373</v>
      </c>
      <c r="C12" s="306">
        <v>0</v>
      </c>
      <c r="D12" s="758">
        <f>C12*'5. RWA'!$C$13</f>
        <v>0</v>
      </c>
    </row>
    <row r="13" spans="1:4" s="261" customFormat="1">
      <c r="A13" s="256" t="s">
        <v>374</v>
      </c>
      <c r="B13" s="257" t="s">
        <v>375</v>
      </c>
      <c r="C13" s="306">
        <v>0</v>
      </c>
      <c r="D13" s="758">
        <f>C13*'5. RWA'!$C$13</f>
        <v>0</v>
      </c>
    </row>
    <row r="14" spans="1:4" s="260" customFormat="1">
      <c r="A14" s="251" t="s">
        <v>376</v>
      </c>
      <c r="B14" s="252" t="s">
        <v>431</v>
      </c>
      <c r="C14" s="307"/>
      <c r="D14" s="757"/>
    </row>
    <row r="15" spans="1:4" s="260" customFormat="1">
      <c r="A15" s="271" t="s">
        <v>379</v>
      </c>
      <c r="B15" s="257" t="s">
        <v>432</v>
      </c>
      <c r="C15" s="306">
        <v>3.6799026008036029E-2</v>
      </c>
      <c r="D15" s="758">
        <f>C15*'5. RWA'!$C$13</f>
        <v>79211588.311145693</v>
      </c>
    </row>
    <row r="16" spans="1:4" s="260" customFormat="1">
      <c r="A16" s="271" t="s">
        <v>380</v>
      </c>
      <c r="B16" s="257" t="s">
        <v>382</v>
      </c>
      <c r="C16" s="306">
        <v>4.2724358420332328E-2</v>
      </c>
      <c r="D16" s="758">
        <f>C16*'5. RWA'!$C$13</f>
        <v>91966137.617613927</v>
      </c>
    </row>
    <row r="17" spans="1:4" s="260" customFormat="1">
      <c r="A17" s="271" t="s">
        <v>381</v>
      </c>
      <c r="B17" s="257" t="s">
        <v>429</v>
      </c>
      <c r="C17" s="306">
        <v>5.0520848436511674E-2</v>
      </c>
      <c r="D17" s="758">
        <f>C17*'5. RWA'!$C$13</f>
        <v>108748439.33665107</v>
      </c>
    </row>
    <row r="18" spans="1:4" s="31" customFormat="1">
      <c r="A18" s="855" t="s">
        <v>430</v>
      </c>
      <c r="B18" s="856"/>
      <c r="C18" s="308" t="s">
        <v>360</v>
      </c>
      <c r="D18" s="759" t="s">
        <v>361</v>
      </c>
    </row>
    <row r="19" spans="1:4" s="260" customFormat="1">
      <c r="A19" s="258">
        <v>4</v>
      </c>
      <c r="B19" s="257" t="s">
        <v>22</v>
      </c>
      <c r="C19" s="306">
        <f>C7+C11+C12+C13+C15</f>
        <v>0.10679902600803604</v>
      </c>
      <c r="D19" s="756">
        <f>C19*'5. RWA'!$C$13</f>
        <v>229889793.23345381</v>
      </c>
    </row>
    <row r="20" spans="1:4" s="260" customFormat="1">
      <c r="A20" s="258">
        <v>5</v>
      </c>
      <c r="B20" s="257" t="s">
        <v>86</v>
      </c>
      <c r="C20" s="306">
        <f>C8+C11+C12+C13+C16</f>
        <v>0.12772435842033231</v>
      </c>
      <c r="D20" s="756">
        <f>C20*'5. RWA'!$C$13</f>
        <v>274932529.30898803</v>
      </c>
    </row>
    <row r="21" spans="1:4" s="260" customFormat="1" ht="14.4" thickBot="1">
      <c r="A21" s="262" t="s">
        <v>377</v>
      </c>
      <c r="B21" s="263" t="s">
        <v>85</v>
      </c>
      <c r="C21" s="309">
        <f>C9+C11+C12+C13+C17</f>
        <v>0.15552084843651168</v>
      </c>
      <c r="D21" s="760">
        <f>C21*'5. RWA'!$C$13</f>
        <v>334765746.72011328</v>
      </c>
    </row>
    <row r="23" spans="1:4" ht="69">
      <c r="B23" s="17"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zoomScale="80" zoomScaleNormal="80" workbookViewId="0">
      <pane xSplit="1" ySplit="5" topLeftCell="B52" activePane="bottomRight" state="frozen"/>
      <selection pane="topRight" activeCell="B1" sqref="B1"/>
      <selection pane="bottomLeft" activeCell="A5" sqref="A5"/>
      <selection pane="bottomRight" activeCell="C66" sqref="C66"/>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 min="6" max="6" width="11" bestFit="1" customWidth="1"/>
  </cols>
  <sheetData>
    <row r="1" spans="1:6">
      <c r="A1" s="13" t="s">
        <v>108</v>
      </c>
      <c r="B1" s="14" t="str">
        <f>Info!C2</f>
        <v>კრედო</v>
      </c>
      <c r="E1" s="1"/>
      <c r="F1" s="1"/>
    </row>
    <row r="2" spans="1:6" s="13" customFormat="1" ht="15.75" customHeight="1">
      <c r="A2" s="13" t="s">
        <v>109</v>
      </c>
      <c r="B2" s="346">
        <f>'1. key ratios'!B2</f>
        <v>45291</v>
      </c>
    </row>
    <row r="3" spans="1:6" s="13" customFormat="1" ht="15.75" customHeight="1">
      <c r="A3" s="20"/>
    </row>
    <row r="4" spans="1:6" s="13" customFormat="1" ht="15.75" customHeight="1" thickBot="1">
      <c r="A4" s="13" t="s">
        <v>258</v>
      </c>
      <c r="B4" s="138" t="s">
        <v>172</v>
      </c>
      <c r="D4" s="140" t="s">
        <v>87</v>
      </c>
    </row>
    <row r="5" spans="1:6" ht="27.6">
      <c r="A5" s="90" t="s">
        <v>25</v>
      </c>
      <c r="B5" s="91" t="s">
        <v>144</v>
      </c>
      <c r="C5" s="92" t="s">
        <v>861</v>
      </c>
      <c r="D5" s="139" t="s">
        <v>173</v>
      </c>
    </row>
    <row r="6" spans="1:6">
      <c r="A6" s="452">
        <v>1</v>
      </c>
      <c r="B6" s="413" t="s">
        <v>846</v>
      </c>
      <c r="C6" s="488">
        <f>SUM(C7:C9)</f>
        <v>321008474.30000001</v>
      </c>
      <c r="D6" s="85"/>
      <c r="E6" s="4"/>
    </row>
    <row r="7" spans="1:6">
      <c r="A7" s="452">
        <v>1.1000000000000001</v>
      </c>
      <c r="B7" s="414" t="s">
        <v>96</v>
      </c>
      <c r="C7" s="481">
        <v>91228953.689999998</v>
      </c>
      <c r="D7" s="86"/>
      <c r="E7" s="4"/>
    </row>
    <row r="8" spans="1:6">
      <c r="A8" s="452">
        <v>1.2</v>
      </c>
      <c r="B8" s="414" t="s">
        <v>97</v>
      </c>
      <c r="C8" s="481">
        <v>147233398.18000001</v>
      </c>
      <c r="D8" s="86"/>
      <c r="E8" s="4"/>
    </row>
    <row r="9" spans="1:6">
      <c r="A9" s="452">
        <v>1.3</v>
      </c>
      <c r="B9" s="414" t="s">
        <v>98</v>
      </c>
      <c r="C9" s="481">
        <v>82546122.430000007</v>
      </c>
      <c r="D9" s="86"/>
      <c r="E9" s="4"/>
    </row>
    <row r="10" spans="1:6">
      <c r="A10" s="452">
        <v>2</v>
      </c>
      <c r="B10" s="415" t="s">
        <v>733</v>
      </c>
      <c r="C10" s="490"/>
      <c r="D10" s="86"/>
      <c r="E10" s="4"/>
    </row>
    <row r="11" spans="1:6">
      <c r="A11" s="452">
        <v>2.1</v>
      </c>
      <c r="B11" s="416" t="s">
        <v>734</v>
      </c>
      <c r="C11" s="482"/>
      <c r="D11" s="87"/>
      <c r="E11" s="5"/>
    </row>
    <row r="12" spans="1:6" ht="23.55" customHeight="1">
      <c r="A12" s="452">
        <v>3</v>
      </c>
      <c r="B12" s="417" t="s">
        <v>735</v>
      </c>
      <c r="C12" s="482"/>
      <c r="D12" s="87"/>
      <c r="E12" s="5"/>
    </row>
    <row r="13" spans="1:6" ht="22.95" customHeight="1">
      <c r="A13" s="452">
        <v>4</v>
      </c>
      <c r="B13" s="418" t="s">
        <v>736</v>
      </c>
      <c r="C13" s="489">
        <v>1821169.01</v>
      </c>
      <c r="D13" s="87"/>
      <c r="E13" s="5"/>
    </row>
    <row r="14" spans="1:6">
      <c r="A14" s="452">
        <v>5</v>
      </c>
      <c r="B14" s="418" t="s">
        <v>737</v>
      </c>
      <c r="C14" s="489">
        <f>SUM(C15:C17)</f>
        <v>0</v>
      </c>
      <c r="D14" s="87"/>
      <c r="E14" s="5"/>
    </row>
    <row r="15" spans="1:6">
      <c r="A15" s="452">
        <v>5.0999999999999996</v>
      </c>
      <c r="B15" s="419" t="s">
        <v>738</v>
      </c>
      <c r="C15" s="481"/>
      <c r="D15" s="87"/>
      <c r="E15" s="4"/>
    </row>
    <row r="16" spans="1:6">
      <c r="A16" s="452">
        <v>5.2</v>
      </c>
      <c r="B16" s="419" t="s">
        <v>569</v>
      </c>
      <c r="C16" s="481"/>
      <c r="D16" s="86"/>
      <c r="E16" s="4"/>
    </row>
    <row r="17" spans="1:5">
      <c r="A17" s="452">
        <v>5.3</v>
      </c>
      <c r="B17" s="419" t="s">
        <v>739</v>
      </c>
      <c r="C17" s="481"/>
      <c r="D17" s="86"/>
      <c r="E17" s="4"/>
    </row>
    <row r="18" spans="1:5">
      <c r="A18" s="452">
        <v>6</v>
      </c>
      <c r="B18" s="417" t="s">
        <v>740</v>
      </c>
      <c r="C18" s="490">
        <f>SUM(C19:C20)</f>
        <v>2034034569.9300001</v>
      </c>
      <c r="D18" s="86"/>
      <c r="E18" s="4"/>
    </row>
    <row r="19" spans="1:5">
      <c r="A19" s="452">
        <v>6.1</v>
      </c>
      <c r="B19" s="419" t="s">
        <v>569</v>
      </c>
      <c r="C19" s="482">
        <v>48888517.93</v>
      </c>
      <c r="D19" s="86"/>
      <c r="E19" s="4"/>
    </row>
    <row r="20" spans="1:5">
      <c r="A20" s="452">
        <v>6.2</v>
      </c>
      <c r="B20" s="419" t="s">
        <v>739</v>
      </c>
      <c r="C20" s="482">
        <v>1985146052</v>
      </c>
      <c r="D20" s="86"/>
      <c r="E20" s="4"/>
    </row>
    <row r="21" spans="1:5">
      <c r="A21" s="452">
        <v>7</v>
      </c>
      <c r="B21" s="420" t="s">
        <v>741</v>
      </c>
      <c r="C21" s="489"/>
      <c r="D21" s="86"/>
      <c r="E21" s="4"/>
    </row>
    <row r="22" spans="1:5">
      <c r="A22" s="452">
        <v>8</v>
      </c>
      <c r="B22" s="421" t="s">
        <v>742</v>
      </c>
      <c r="C22" s="490"/>
      <c r="D22" s="86"/>
      <c r="E22" s="4"/>
    </row>
    <row r="23" spans="1:5">
      <c r="A23" s="452">
        <v>9</v>
      </c>
      <c r="B23" s="418" t="s">
        <v>743</v>
      </c>
      <c r="C23" s="490">
        <f>SUM(C24:C25)</f>
        <v>45907008.240000017</v>
      </c>
      <c r="D23" s="480"/>
      <c r="E23" s="4"/>
    </row>
    <row r="24" spans="1:5">
      <c r="A24" s="452">
        <v>9.1</v>
      </c>
      <c r="B24" s="422" t="s">
        <v>744</v>
      </c>
      <c r="C24" s="483">
        <v>45907008.240000017</v>
      </c>
      <c r="D24" s="88"/>
      <c r="E24" s="4"/>
    </row>
    <row r="25" spans="1:5">
      <c r="A25" s="452">
        <v>9.1999999999999993</v>
      </c>
      <c r="B25" s="422" t="s">
        <v>745</v>
      </c>
      <c r="C25" s="484"/>
      <c r="D25" s="479"/>
      <c r="E25" s="3"/>
    </row>
    <row r="26" spans="1:5">
      <c r="A26" s="452">
        <v>10</v>
      </c>
      <c r="B26" s="418" t="s">
        <v>36</v>
      </c>
      <c r="C26" s="491">
        <f>SUM(C27:C28)</f>
        <v>19302841.93</v>
      </c>
      <c r="D26" s="628" t="s">
        <v>945</v>
      </c>
      <c r="E26" s="4"/>
    </row>
    <row r="27" spans="1:5">
      <c r="A27" s="452">
        <v>10.1</v>
      </c>
      <c r="B27" s="422" t="s">
        <v>746</v>
      </c>
      <c r="C27" s="481"/>
      <c r="D27" s="86"/>
      <c r="E27" s="4"/>
    </row>
    <row r="28" spans="1:5">
      <c r="A28" s="452">
        <v>10.199999999999999</v>
      </c>
      <c r="B28" s="422" t="s">
        <v>747</v>
      </c>
      <c r="C28" s="481">
        <v>19302841.93</v>
      </c>
      <c r="D28" s="86"/>
      <c r="E28" s="4"/>
    </row>
    <row r="29" spans="1:5">
      <c r="A29" s="452">
        <v>11</v>
      </c>
      <c r="B29" s="418" t="s">
        <v>748</v>
      </c>
      <c r="C29" s="490">
        <f>SUM(C30:C31)</f>
        <v>0</v>
      </c>
      <c r="D29" s="86"/>
      <c r="E29" s="4"/>
    </row>
    <row r="30" spans="1:5">
      <c r="A30" s="452">
        <v>11.1</v>
      </c>
      <c r="B30" s="422" t="s">
        <v>749</v>
      </c>
      <c r="C30" s="481"/>
      <c r="D30" s="86"/>
      <c r="E30" s="4"/>
    </row>
    <row r="31" spans="1:5">
      <c r="A31" s="452">
        <v>11.2</v>
      </c>
      <c r="B31" s="422" t="s">
        <v>750</v>
      </c>
      <c r="C31" s="481"/>
      <c r="D31" s="86"/>
      <c r="E31" s="4"/>
    </row>
    <row r="32" spans="1:5">
      <c r="A32" s="452">
        <v>13</v>
      </c>
      <c r="B32" s="418" t="s">
        <v>99</v>
      </c>
      <c r="C32" s="490">
        <v>43932456.220000014</v>
      </c>
      <c r="D32" s="86"/>
      <c r="E32" s="4"/>
    </row>
    <row r="33" spans="1:5">
      <c r="A33" s="452">
        <v>13.1</v>
      </c>
      <c r="B33" s="423" t="s">
        <v>751</v>
      </c>
      <c r="C33" s="481">
        <v>13792672</v>
      </c>
      <c r="D33" s="86"/>
      <c r="E33" s="4"/>
    </row>
    <row r="34" spans="1:5">
      <c r="A34" s="452">
        <v>13.2</v>
      </c>
      <c r="B34" s="423" t="s">
        <v>752</v>
      </c>
      <c r="C34" s="483"/>
      <c r="D34" s="88"/>
      <c r="E34" s="4"/>
    </row>
    <row r="35" spans="1:5">
      <c r="A35" s="452">
        <v>14</v>
      </c>
      <c r="B35" s="424" t="s">
        <v>753</v>
      </c>
      <c r="C35" s="492">
        <f>SUM(C6,C10,C12,C13,C14,C18,C21,C22,C23,C26,C29,C32)</f>
        <v>2466006519.6300001</v>
      </c>
      <c r="D35" s="88"/>
      <c r="E35" s="4"/>
    </row>
    <row r="36" spans="1:5">
      <c r="A36" s="452"/>
      <c r="B36" s="425" t="s">
        <v>104</v>
      </c>
      <c r="C36" s="178"/>
      <c r="D36" s="89"/>
      <c r="E36" s="4"/>
    </row>
    <row r="37" spans="1:5">
      <c r="A37" s="452">
        <v>15</v>
      </c>
      <c r="B37" s="426" t="s">
        <v>754</v>
      </c>
      <c r="C37" s="484"/>
      <c r="D37" s="479"/>
      <c r="E37" s="3"/>
    </row>
    <row r="38" spans="1:5">
      <c r="A38" s="452">
        <v>15.1</v>
      </c>
      <c r="B38" s="427" t="s">
        <v>734</v>
      </c>
      <c r="C38" s="481"/>
      <c r="D38" s="86"/>
      <c r="E38" s="4"/>
    </row>
    <row r="39" spans="1:5" ht="20.399999999999999">
      <c r="A39" s="452">
        <v>16</v>
      </c>
      <c r="B39" s="420" t="s">
        <v>755</v>
      </c>
      <c r="C39" s="490">
        <v>133467.17000000001</v>
      </c>
      <c r="D39" s="86"/>
      <c r="E39" s="4"/>
    </row>
    <row r="40" spans="1:5">
      <c r="A40" s="452">
        <v>17</v>
      </c>
      <c r="B40" s="420" t="s">
        <v>756</v>
      </c>
      <c r="C40" s="490">
        <f>SUM(C41:C44)</f>
        <v>1979248517.8800001</v>
      </c>
      <c r="D40" s="86"/>
      <c r="E40" s="4"/>
    </row>
    <row r="41" spans="1:5">
      <c r="A41" s="452">
        <v>17.100000000000001</v>
      </c>
      <c r="B41" s="428" t="s">
        <v>757</v>
      </c>
      <c r="C41" s="481">
        <v>893284468</v>
      </c>
      <c r="D41" s="86"/>
      <c r="E41" s="4"/>
    </row>
    <row r="42" spans="1:5">
      <c r="A42" s="471">
        <v>17.2</v>
      </c>
      <c r="B42" s="472" t="s">
        <v>100</v>
      </c>
      <c r="C42" s="483">
        <v>1064696709.0500001</v>
      </c>
      <c r="D42" s="88"/>
      <c r="E42" s="4"/>
    </row>
    <row r="43" spans="1:5">
      <c r="A43" s="452">
        <v>17.3</v>
      </c>
      <c r="B43" s="473" t="s">
        <v>758</v>
      </c>
      <c r="C43" s="485"/>
      <c r="D43" s="474"/>
      <c r="E43" s="4"/>
    </row>
    <row r="44" spans="1:5">
      <c r="A44" s="452">
        <v>17.399999999999999</v>
      </c>
      <c r="B44" s="473" t="s">
        <v>759</v>
      </c>
      <c r="C44" s="485">
        <v>21267340.829999998</v>
      </c>
      <c r="D44" s="474"/>
      <c r="E44" s="4"/>
    </row>
    <row r="45" spans="1:5">
      <c r="A45" s="452">
        <v>18</v>
      </c>
      <c r="B45" s="436" t="s">
        <v>760</v>
      </c>
      <c r="C45" s="493"/>
      <c r="D45" s="474"/>
      <c r="E45" s="3"/>
    </row>
    <row r="46" spans="1:5">
      <c r="A46" s="452">
        <v>19</v>
      </c>
      <c r="B46" s="436" t="s">
        <v>761</v>
      </c>
      <c r="C46" s="490">
        <f>SUM(C47:C48)</f>
        <v>2435226.58</v>
      </c>
      <c r="D46" s="475"/>
    </row>
    <row r="47" spans="1:5">
      <c r="A47" s="452">
        <v>19.100000000000001</v>
      </c>
      <c r="B47" s="476" t="s">
        <v>762</v>
      </c>
      <c r="C47" s="486">
        <v>69707.240000000224</v>
      </c>
      <c r="D47" s="475"/>
    </row>
    <row r="48" spans="1:5">
      <c r="A48" s="452">
        <v>19.2</v>
      </c>
      <c r="B48" s="476" t="s">
        <v>763</v>
      </c>
      <c r="C48" s="481">
        <v>2365519.34</v>
      </c>
      <c r="D48" s="475"/>
    </row>
    <row r="49" spans="1:7">
      <c r="A49" s="452">
        <v>20</v>
      </c>
      <c r="B49" s="432" t="s">
        <v>101</v>
      </c>
      <c r="C49" s="490">
        <v>127236533.97</v>
      </c>
      <c r="D49" s="475"/>
    </row>
    <row r="50" spans="1:7">
      <c r="A50" s="452">
        <v>21</v>
      </c>
      <c r="B50" s="433" t="s">
        <v>89</v>
      </c>
      <c r="C50" s="490">
        <v>51920816.179999977</v>
      </c>
      <c r="D50" s="475"/>
    </row>
    <row r="51" spans="1:7">
      <c r="A51" s="452">
        <v>21.1</v>
      </c>
      <c r="B51" s="429" t="s">
        <v>764</v>
      </c>
      <c r="C51" s="486"/>
      <c r="D51" s="475"/>
    </row>
    <row r="52" spans="1:7">
      <c r="A52" s="452">
        <v>22</v>
      </c>
      <c r="B52" s="432" t="s">
        <v>765</v>
      </c>
      <c r="C52" s="490">
        <f>SUM(C37,C39,C40,C45,C46,C49,C50)</f>
        <v>2160974561.7800002</v>
      </c>
      <c r="D52" s="475"/>
      <c r="G52" s="729"/>
    </row>
    <row r="53" spans="1:7">
      <c r="A53" s="452"/>
      <c r="B53" s="434" t="s">
        <v>766</v>
      </c>
      <c r="C53" s="490"/>
      <c r="D53" s="475"/>
    </row>
    <row r="54" spans="1:7">
      <c r="A54" s="452">
        <v>23</v>
      </c>
      <c r="B54" s="432" t="s">
        <v>105</v>
      </c>
      <c r="C54" s="490">
        <v>5210230</v>
      </c>
      <c r="D54" s="475"/>
    </row>
    <row r="55" spans="1:7">
      <c r="A55" s="452">
        <v>24</v>
      </c>
      <c r="B55" s="432" t="s">
        <v>767</v>
      </c>
      <c r="C55" s="494"/>
      <c r="D55" s="475"/>
    </row>
    <row r="56" spans="1:7">
      <c r="A56" s="452">
        <v>25</v>
      </c>
      <c r="B56" s="432" t="s">
        <v>102</v>
      </c>
      <c r="C56" s="490">
        <v>37102057.520000003</v>
      </c>
      <c r="D56" s="475"/>
    </row>
    <row r="57" spans="1:7">
      <c r="A57" s="452">
        <v>26</v>
      </c>
      <c r="B57" s="436" t="s">
        <v>768</v>
      </c>
      <c r="C57" s="494"/>
      <c r="D57" s="475"/>
    </row>
    <row r="58" spans="1:7">
      <c r="A58" s="452">
        <v>27</v>
      </c>
      <c r="B58" s="436" t="s">
        <v>769</v>
      </c>
      <c r="C58" s="494">
        <f>SUM(C59:C60)</f>
        <v>0</v>
      </c>
      <c r="D58" s="475"/>
    </row>
    <row r="59" spans="1:7">
      <c r="A59" s="452">
        <v>27.1</v>
      </c>
      <c r="B59" s="476" t="s">
        <v>770</v>
      </c>
      <c r="C59" s="487"/>
      <c r="D59" s="475"/>
    </row>
    <row r="60" spans="1:7">
      <c r="A60" s="452">
        <v>27.2</v>
      </c>
      <c r="B60" s="473" t="s">
        <v>771</v>
      </c>
      <c r="C60" s="487"/>
      <c r="D60" s="475"/>
    </row>
    <row r="61" spans="1:7">
      <c r="A61" s="452">
        <v>28</v>
      </c>
      <c r="B61" s="433" t="s">
        <v>772</v>
      </c>
      <c r="C61" s="494"/>
      <c r="D61" s="475"/>
    </row>
    <row r="62" spans="1:7">
      <c r="A62" s="452">
        <v>29</v>
      </c>
      <c r="B62" s="436" t="s">
        <v>773</v>
      </c>
      <c r="C62" s="494">
        <f>SUM(C63:C65)</f>
        <v>0</v>
      </c>
      <c r="D62" s="475"/>
    </row>
    <row r="63" spans="1:7">
      <c r="A63" s="452">
        <v>29.1</v>
      </c>
      <c r="B63" s="477" t="s">
        <v>774</v>
      </c>
      <c r="C63" s="487"/>
      <c r="D63" s="475"/>
    </row>
    <row r="64" spans="1:7" ht="24" customHeight="1">
      <c r="A64" s="452">
        <v>29.2</v>
      </c>
      <c r="B64" s="476" t="s">
        <v>775</v>
      </c>
      <c r="C64" s="487"/>
      <c r="D64" s="475"/>
    </row>
    <row r="65" spans="1:4" ht="22.05" customHeight="1">
      <c r="A65" s="452">
        <v>29.3</v>
      </c>
      <c r="B65" s="478" t="s">
        <v>776</v>
      </c>
      <c r="C65" s="487"/>
      <c r="D65" s="475"/>
    </row>
    <row r="66" spans="1:4">
      <c r="A66" s="452">
        <v>30</v>
      </c>
      <c r="B66" s="436" t="s">
        <v>103</v>
      </c>
      <c r="C66" s="490">
        <v>262719670.99000561</v>
      </c>
      <c r="D66" s="475"/>
    </row>
    <row r="67" spans="1:4">
      <c r="A67" s="452">
        <v>31</v>
      </c>
      <c r="B67" s="435" t="s">
        <v>777</v>
      </c>
      <c r="C67" s="490">
        <f>SUM(C54,C55,C56,C57,C58,C61,C62,C66)</f>
        <v>305031958.51000559</v>
      </c>
      <c r="D67" s="475"/>
    </row>
    <row r="68" spans="1:4">
      <c r="A68" s="452">
        <v>32</v>
      </c>
      <c r="B68" s="436" t="s">
        <v>778</v>
      </c>
      <c r="C68" s="490">
        <f>SUM(C52,C67)</f>
        <v>2466006520.2900057</v>
      </c>
      <c r="D68" s="475"/>
    </row>
  </sheetData>
  <pageMargins left="0.7" right="0.7" top="0.75" bottom="0.75" header="0.3" footer="0.3"/>
  <pageSetup paperSize="9" orientation="portrait" horizontalDpi="4294967295" verticalDpi="4294967295" r:id="rId1"/>
  <ignoredErrors>
    <ignoredError sqref="C29 C46 C6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zoomScale="80" zoomScaleNormal="80" workbookViewId="0">
      <pane xSplit="2" ySplit="7" topLeftCell="F8" activePane="bottomRight" state="frozen"/>
      <selection pane="topRight" activeCell="C1" sqref="C1"/>
      <selection pane="bottomLeft" activeCell="A8" sqref="A8"/>
      <selection pane="bottomRight" activeCell="C8" sqref="C8:R21"/>
    </sheetView>
  </sheetViews>
  <sheetFormatPr defaultColWidth="9.21875" defaultRowHeight="13.8"/>
  <cols>
    <col min="1" max="1" width="10.5546875" style="1" bestFit="1" customWidth="1"/>
    <col min="2" max="2" width="54" style="1" customWidth="1"/>
    <col min="3" max="3" width="11.33203125" style="1" bestFit="1" customWidth="1"/>
    <col min="4" max="4" width="13.21875" style="1" bestFit="1" customWidth="1"/>
    <col min="5" max="5" width="10.33203125" style="1" bestFit="1" customWidth="1"/>
    <col min="6" max="6" width="13.21875" style="1" bestFit="1" customWidth="1"/>
    <col min="7" max="7" width="11.33203125" style="1" bestFit="1" customWidth="1"/>
    <col min="8" max="8" width="13.21875" style="1" bestFit="1" customWidth="1"/>
    <col min="9" max="9" width="10.332031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108</v>
      </c>
      <c r="B1" s="1" t="str">
        <f>Info!C2</f>
        <v>კრედო</v>
      </c>
    </row>
    <row r="2" spans="1:19">
      <c r="A2" s="1" t="s">
        <v>109</v>
      </c>
      <c r="B2" s="346">
        <f>'1. key ratios'!B2</f>
        <v>45291</v>
      </c>
    </row>
    <row r="4" spans="1:19" ht="42" thickBot="1">
      <c r="A4" s="31" t="s">
        <v>259</v>
      </c>
      <c r="B4" s="202" t="s">
        <v>294</v>
      </c>
    </row>
    <row r="5" spans="1:19">
      <c r="A5" s="75"/>
      <c r="B5" s="77"/>
      <c r="C5" s="69" t="s">
        <v>0</v>
      </c>
      <c r="D5" s="69" t="s">
        <v>1</v>
      </c>
      <c r="E5" s="69" t="s">
        <v>2</v>
      </c>
      <c r="F5" s="69" t="s">
        <v>3</v>
      </c>
      <c r="G5" s="69" t="s">
        <v>4</v>
      </c>
      <c r="H5" s="69" t="s">
        <v>5</v>
      </c>
      <c r="I5" s="69" t="s">
        <v>145</v>
      </c>
      <c r="J5" s="69" t="s">
        <v>146</v>
      </c>
      <c r="K5" s="69" t="s">
        <v>147</v>
      </c>
      <c r="L5" s="69" t="s">
        <v>148</v>
      </c>
      <c r="M5" s="69" t="s">
        <v>149</v>
      </c>
      <c r="N5" s="69" t="s">
        <v>150</v>
      </c>
      <c r="O5" s="69" t="s">
        <v>281</v>
      </c>
      <c r="P5" s="69" t="s">
        <v>282</v>
      </c>
      <c r="Q5" s="69" t="s">
        <v>283</v>
      </c>
      <c r="R5" s="195" t="s">
        <v>284</v>
      </c>
      <c r="S5" s="70" t="s">
        <v>285</v>
      </c>
    </row>
    <row r="6" spans="1:19" ht="46.5" customHeight="1">
      <c r="A6" s="93"/>
      <c r="B6" s="861" t="s">
        <v>286</v>
      </c>
      <c r="C6" s="859">
        <v>0</v>
      </c>
      <c r="D6" s="860"/>
      <c r="E6" s="859">
        <v>0.2</v>
      </c>
      <c r="F6" s="860"/>
      <c r="G6" s="859">
        <v>0.35</v>
      </c>
      <c r="H6" s="860"/>
      <c r="I6" s="859">
        <v>0.5</v>
      </c>
      <c r="J6" s="860"/>
      <c r="K6" s="859">
        <v>0.75</v>
      </c>
      <c r="L6" s="860"/>
      <c r="M6" s="859">
        <v>1</v>
      </c>
      <c r="N6" s="860"/>
      <c r="O6" s="859">
        <v>1.5</v>
      </c>
      <c r="P6" s="860"/>
      <c r="Q6" s="859">
        <v>2.5</v>
      </c>
      <c r="R6" s="860"/>
      <c r="S6" s="857" t="s">
        <v>156</v>
      </c>
    </row>
    <row r="7" spans="1:19">
      <c r="A7" s="93"/>
      <c r="B7" s="862"/>
      <c r="C7" s="201" t="s">
        <v>279</v>
      </c>
      <c r="D7" s="201" t="s">
        <v>280</v>
      </c>
      <c r="E7" s="201" t="s">
        <v>279</v>
      </c>
      <c r="F7" s="201" t="s">
        <v>280</v>
      </c>
      <c r="G7" s="201" t="s">
        <v>279</v>
      </c>
      <c r="H7" s="201" t="s">
        <v>280</v>
      </c>
      <c r="I7" s="201" t="s">
        <v>279</v>
      </c>
      <c r="J7" s="201" t="s">
        <v>280</v>
      </c>
      <c r="K7" s="201" t="s">
        <v>279</v>
      </c>
      <c r="L7" s="201" t="s">
        <v>280</v>
      </c>
      <c r="M7" s="201" t="s">
        <v>279</v>
      </c>
      <c r="N7" s="201" t="s">
        <v>280</v>
      </c>
      <c r="O7" s="201" t="s">
        <v>279</v>
      </c>
      <c r="P7" s="201" t="s">
        <v>280</v>
      </c>
      <c r="Q7" s="201" t="s">
        <v>279</v>
      </c>
      <c r="R7" s="201" t="s">
        <v>280</v>
      </c>
      <c r="S7" s="858"/>
    </row>
    <row r="8" spans="1:19">
      <c r="A8" s="73">
        <v>1</v>
      </c>
      <c r="B8" s="114" t="s">
        <v>134</v>
      </c>
      <c r="C8" s="179">
        <v>121157969.45</v>
      </c>
      <c r="D8" s="179"/>
      <c r="E8" s="179"/>
      <c r="F8" s="196"/>
      <c r="G8" s="179"/>
      <c r="H8" s="179"/>
      <c r="I8" s="179"/>
      <c r="J8" s="179"/>
      <c r="K8" s="179"/>
      <c r="L8" s="179"/>
      <c r="M8" s="179">
        <v>48827621.170000002</v>
      </c>
      <c r="N8" s="179"/>
      <c r="O8" s="179"/>
      <c r="P8" s="179"/>
      <c r="Q8" s="179"/>
      <c r="R8" s="196"/>
      <c r="S8" s="205">
        <f>$C$6*SUM(C8:D8)+$E$6*SUM(E8:F8)+$G$6*SUM(G8:H8)+$I$6*SUM(I8:J8)+$K$6*SUM(K8:L8)+$M$6*SUM(M8:N8)+$O$6*SUM(O8:P8)+$Q$6*SUM(Q8:R8)</f>
        <v>48827621.170000002</v>
      </c>
    </row>
    <row r="9" spans="1:19" ht="41.4">
      <c r="A9" s="73">
        <v>2</v>
      </c>
      <c r="B9" s="36" t="s">
        <v>135</v>
      </c>
      <c r="C9" s="179"/>
      <c r="D9" s="179"/>
      <c r="E9" s="179"/>
      <c r="F9" s="179"/>
      <c r="G9" s="179"/>
      <c r="H9" s="179"/>
      <c r="I9" s="179"/>
      <c r="J9" s="179"/>
      <c r="K9" s="179"/>
      <c r="L9" s="179"/>
      <c r="M9" s="179"/>
      <c r="N9" s="179"/>
      <c r="O9" s="179"/>
      <c r="P9" s="179"/>
      <c r="Q9" s="179"/>
      <c r="R9" s="196"/>
      <c r="S9" s="205">
        <f t="shared" ref="S9:S21" si="0">$C$6*SUM(C9:D9)+$E$6*SUM(E9:F9)+$G$6*SUM(G9:H9)+$I$6*SUM(I9:J9)+$K$6*SUM(K9:L9)+$M$6*SUM(M9:N9)+$O$6*SUM(O9:P9)+$Q$6*SUM(Q9:R9)</f>
        <v>0</v>
      </c>
    </row>
    <row r="10" spans="1:19">
      <c r="A10" s="73">
        <v>3</v>
      </c>
      <c r="B10" s="114" t="s">
        <v>136</v>
      </c>
      <c r="C10" s="179">
        <v>26136325.489999998</v>
      </c>
      <c r="D10" s="179"/>
      <c r="E10" s="179"/>
      <c r="F10" s="179"/>
      <c r="G10" s="179"/>
      <c r="H10" s="179"/>
      <c r="I10" s="179"/>
      <c r="J10" s="179"/>
      <c r="K10" s="179"/>
      <c r="L10" s="179"/>
      <c r="M10" s="179"/>
      <c r="N10" s="179"/>
      <c r="O10" s="179"/>
      <c r="P10" s="179"/>
      <c r="Q10" s="179"/>
      <c r="R10" s="196"/>
      <c r="S10" s="205">
        <f t="shared" si="0"/>
        <v>0</v>
      </c>
    </row>
    <row r="11" spans="1:19" ht="27.6">
      <c r="A11" s="73">
        <v>4</v>
      </c>
      <c r="B11" s="36" t="s">
        <v>137</v>
      </c>
      <c r="C11" s="179"/>
      <c r="D11" s="179"/>
      <c r="E11" s="179"/>
      <c r="F11" s="179"/>
      <c r="G11" s="179"/>
      <c r="H11" s="179"/>
      <c r="I11" s="179"/>
      <c r="J11" s="179"/>
      <c r="K11" s="179"/>
      <c r="L11" s="179"/>
      <c r="M11" s="179"/>
      <c r="N11" s="179"/>
      <c r="O11" s="179"/>
      <c r="P11" s="179"/>
      <c r="Q11" s="179"/>
      <c r="R11" s="196"/>
      <c r="S11" s="205">
        <f t="shared" si="0"/>
        <v>0</v>
      </c>
    </row>
    <row r="12" spans="1:19">
      <c r="A12" s="73">
        <v>5</v>
      </c>
      <c r="B12" s="114" t="s">
        <v>990</v>
      </c>
      <c r="C12" s="179"/>
      <c r="D12" s="179"/>
      <c r="E12" s="179"/>
      <c r="F12" s="179"/>
      <c r="G12" s="179"/>
      <c r="H12" s="179"/>
      <c r="I12" s="179"/>
      <c r="J12" s="179"/>
      <c r="K12" s="179"/>
      <c r="L12" s="179"/>
      <c r="M12" s="179"/>
      <c r="N12" s="179"/>
      <c r="O12" s="179"/>
      <c r="P12" s="179"/>
      <c r="Q12" s="179"/>
      <c r="R12" s="196"/>
      <c r="S12" s="205">
        <f t="shared" si="0"/>
        <v>0</v>
      </c>
    </row>
    <row r="13" spans="1:19">
      <c r="A13" s="73">
        <v>6</v>
      </c>
      <c r="B13" s="114" t="s">
        <v>138</v>
      </c>
      <c r="C13" s="179"/>
      <c r="D13" s="179"/>
      <c r="E13" s="179">
        <v>59170497.800000004</v>
      </c>
      <c r="F13" s="179"/>
      <c r="G13" s="179"/>
      <c r="H13" s="179"/>
      <c r="I13" s="179">
        <v>23284413.980299998</v>
      </c>
      <c r="J13" s="179"/>
      <c r="K13" s="179"/>
      <c r="L13" s="179"/>
      <c r="M13" s="179">
        <v>77878.42</v>
      </c>
      <c r="N13" s="179"/>
      <c r="O13" s="179">
        <v>13332.16</v>
      </c>
      <c r="P13" s="179"/>
      <c r="Q13" s="179"/>
      <c r="R13" s="196"/>
      <c r="S13" s="205">
        <f t="shared" si="0"/>
        <v>23574183.21015</v>
      </c>
    </row>
    <row r="14" spans="1:19">
      <c r="A14" s="73">
        <v>7</v>
      </c>
      <c r="B14" s="114" t="s">
        <v>71</v>
      </c>
      <c r="C14" s="179"/>
      <c r="D14" s="179"/>
      <c r="E14" s="179"/>
      <c r="F14" s="179"/>
      <c r="G14" s="179"/>
      <c r="H14" s="179"/>
      <c r="I14" s="179"/>
      <c r="J14" s="179"/>
      <c r="K14" s="179"/>
      <c r="L14" s="179"/>
      <c r="M14" s="179">
        <v>23160963.758971184</v>
      </c>
      <c r="N14" s="179">
        <v>1344700</v>
      </c>
      <c r="O14" s="179"/>
      <c r="P14" s="179"/>
      <c r="Q14" s="179"/>
      <c r="R14" s="196"/>
      <c r="S14" s="205">
        <f t="shared" si="0"/>
        <v>24505663.758971184</v>
      </c>
    </row>
    <row r="15" spans="1:19">
      <c r="A15" s="73">
        <v>8</v>
      </c>
      <c r="B15" s="114" t="s">
        <v>72</v>
      </c>
      <c r="C15" s="179"/>
      <c r="D15" s="179"/>
      <c r="E15" s="179"/>
      <c r="F15" s="179"/>
      <c r="G15" s="179"/>
      <c r="H15" s="179"/>
      <c r="I15" s="179"/>
      <c r="J15" s="179"/>
      <c r="K15" s="179">
        <v>1853251381.3734131</v>
      </c>
      <c r="L15" s="179">
        <v>26427216.055</v>
      </c>
      <c r="M15" s="179"/>
      <c r="N15" s="179"/>
      <c r="O15" s="179"/>
      <c r="P15" s="179"/>
      <c r="Q15" s="179"/>
      <c r="R15" s="196"/>
      <c r="S15" s="205">
        <f t="shared" si="0"/>
        <v>1409758948.0713098</v>
      </c>
    </row>
    <row r="16" spans="1:19" ht="27" customHeight="1">
      <c r="A16" s="73">
        <v>9</v>
      </c>
      <c r="B16" s="36" t="s">
        <v>991</v>
      </c>
      <c r="C16" s="179"/>
      <c r="D16" s="179"/>
      <c r="E16" s="179"/>
      <c r="F16" s="179"/>
      <c r="G16" s="179">
        <v>101432489.06120661</v>
      </c>
      <c r="H16" s="179"/>
      <c r="I16" s="179"/>
      <c r="J16" s="179"/>
      <c r="K16" s="179"/>
      <c r="L16" s="179"/>
      <c r="M16" s="179"/>
      <c r="N16" s="179"/>
      <c r="O16" s="179"/>
      <c r="P16" s="179"/>
      <c r="Q16" s="179"/>
      <c r="R16" s="196"/>
      <c r="S16" s="205">
        <f t="shared" si="0"/>
        <v>35501371.17142231</v>
      </c>
    </row>
    <row r="17" spans="1:19">
      <c r="A17" s="73">
        <v>10</v>
      </c>
      <c r="B17" s="114" t="s">
        <v>67</v>
      </c>
      <c r="C17" s="179"/>
      <c r="D17" s="179"/>
      <c r="E17" s="179"/>
      <c r="F17" s="179"/>
      <c r="G17" s="179"/>
      <c r="H17" s="179"/>
      <c r="I17" s="179">
        <v>27499.91859113962</v>
      </c>
      <c r="J17" s="179"/>
      <c r="K17" s="179"/>
      <c r="L17" s="179"/>
      <c r="M17" s="179">
        <v>2813693.0229467656</v>
      </c>
      <c r="N17" s="179"/>
      <c r="O17" s="179">
        <v>4460025.1507302765</v>
      </c>
      <c r="P17" s="179"/>
      <c r="Q17" s="179"/>
      <c r="R17" s="196"/>
      <c r="S17" s="205">
        <f t="shared" si="0"/>
        <v>9517480.7083377503</v>
      </c>
    </row>
    <row r="18" spans="1:19">
      <c r="A18" s="73">
        <v>11</v>
      </c>
      <c r="B18" s="114" t="s">
        <v>68</v>
      </c>
      <c r="C18" s="179"/>
      <c r="D18" s="179"/>
      <c r="E18" s="179"/>
      <c r="F18" s="179"/>
      <c r="G18" s="179"/>
      <c r="H18" s="179"/>
      <c r="I18" s="179"/>
      <c r="J18" s="179"/>
      <c r="K18" s="179"/>
      <c r="L18" s="179"/>
      <c r="M18" s="179"/>
      <c r="N18" s="179"/>
      <c r="O18" s="179"/>
      <c r="P18" s="179"/>
      <c r="Q18" s="179"/>
      <c r="R18" s="196"/>
      <c r="S18" s="205">
        <f t="shared" si="0"/>
        <v>0</v>
      </c>
    </row>
    <row r="19" spans="1:19">
      <c r="A19" s="73">
        <v>12</v>
      </c>
      <c r="B19" s="114" t="s">
        <v>69</v>
      </c>
      <c r="C19" s="179"/>
      <c r="D19" s="179"/>
      <c r="E19" s="179"/>
      <c r="F19" s="179"/>
      <c r="G19" s="179"/>
      <c r="H19" s="179"/>
      <c r="I19" s="179"/>
      <c r="J19" s="179"/>
      <c r="K19" s="179"/>
      <c r="L19" s="179"/>
      <c r="M19" s="179"/>
      <c r="N19" s="179"/>
      <c r="O19" s="179"/>
      <c r="P19" s="179"/>
      <c r="Q19" s="179"/>
      <c r="R19" s="196"/>
      <c r="S19" s="205">
        <f t="shared" si="0"/>
        <v>0</v>
      </c>
    </row>
    <row r="20" spans="1:19">
      <c r="A20" s="73">
        <v>13</v>
      </c>
      <c r="B20" s="114" t="s">
        <v>70</v>
      </c>
      <c r="C20" s="179"/>
      <c r="D20" s="179"/>
      <c r="E20" s="179"/>
      <c r="F20" s="179"/>
      <c r="G20" s="179"/>
      <c r="H20" s="179"/>
      <c r="I20" s="179"/>
      <c r="J20" s="179"/>
      <c r="K20" s="179"/>
      <c r="L20" s="179"/>
      <c r="M20" s="179"/>
      <c r="N20" s="179"/>
      <c r="O20" s="179"/>
      <c r="P20" s="179"/>
      <c r="Q20" s="179"/>
      <c r="R20" s="196"/>
      <c r="S20" s="205">
        <f t="shared" si="0"/>
        <v>0</v>
      </c>
    </row>
    <row r="21" spans="1:19">
      <c r="A21" s="73">
        <v>14</v>
      </c>
      <c r="B21" s="728" t="s">
        <v>154</v>
      </c>
      <c r="C21" s="179">
        <v>91228953.689999998</v>
      </c>
      <c r="D21" s="179"/>
      <c r="E21" s="179"/>
      <c r="F21" s="179"/>
      <c r="G21" s="179"/>
      <c r="H21" s="179"/>
      <c r="I21" s="179"/>
      <c r="J21" s="179"/>
      <c r="K21" s="179"/>
      <c r="L21" s="179"/>
      <c r="M21" s="179">
        <v>91660633.470000029</v>
      </c>
      <c r="N21" s="179"/>
      <c r="O21" s="179"/>
      <c r="P21" s="179"/>
      <c r="Q21" s="179"/>
      <c r="R21" s="196"/>
      <c r="S21" s="205">
        <f t="shared" si="0"/>
        <v>91660633.470000029</v>
      </c>
    </row>
    <row r="22" spans="1:19" ht="14.4" thickBot="1">
      <c r="A22" s="56"/>
      <c r="B22" s="98" t="s">
        <v>66</v>
      </c>
      <c r="C22" s="180">
        <f>SUM(C8:C21)</f>
        <v>238523248.63</v>
      </c>
      <c r="D22" s="180">
        <f t="shared" ref="D22:S22" si="1">SUM(D8:D21)</f>
        <v>0</v>
      </c>
      <c r="E22" s="180">
        <f t="shared" si="1"/>
        <v>59170497.800000004</v>
      </c>
      <c r="F22" s="180">
        <f t="shared" si="1"/>
        <v>0</v>
      </c>
      <c r="G22" s="180">
        <f t="shared" si="1"/>
        <v>101432489.06120661</v>
      </c>
      <c r="H22" s="180">
        <f t="shared" si="1"/>
        <v>0</v>
      </c>
      <c r="I22" s="180">
        <f t="shared" si="1"/>
        <v>23311913.898891136</v>
      </c>
      <c r="J22" s="180">
        <f t="shared" si="1"/>
        <v>0</v>
      </c>
      <c r="K22" s="180">
        <f t="shared" si="1"/>
        <v>1853251381.3734131</v>
      </c>
      <c r="L22" s="180">
        <f t="shared" si="1"/>
        <v>26427216.055</v>
      </c>
      <c r="M22" s="180">
        <f t="shared" si="1"/>
        <v>166540789.84191799</v>
      </c>
      <c r="N22" s="180">
        <f t="shared" si="1"/>
        <v>1344700</v>
      </c>
      <c r="O22" s="180">
        <f t="shared" si="1"/>
        <v>4473357.3107302766</v>
      </c>
      <c r="P22" s="180">
        <f t="shared" si="1"/>
        <v>0</v>
      </c>
      <c r="Q22" s="180">
        <f t="shared" si="1"/>
        <v>0</v>
      </c>
      <c r="R22" s="180">
        <f t="shared" si="1"/>
        <v>0</v>
      </c>
      <c r="S22" s="727">
        <f t="shared" si="1"/>
        <v>1643345901.5601912</v>
      </c>
    </row>
    <row r="23" spans="1:19">
      <c r="S23" s="726"/>
    </row>
    <row r="24" spans="1:19">
      <c r="S24" s="726"/>
    </row>
    <row r="25" spans="1:19">
      <c r="S25" s="72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T15" activePane="bottomRight" state="frozen"/>
      <selection pane="topRight" activeCell="C1" sqref="C1"/>
      <selection pane="bottomLeft" activeCell="A6" sqref="A6"/>
      <selection pane="bottomRight" activeCell="B15" sqref="B15"/>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108</v>
      </c>
      <c r="B1" s="1" t="str">
        <f>Info!C2</f>
        <v>კრედო</v>
      </c>
    </row>
    <row r="2" spans="1:22">
      <c r="A2" s="1" t="s">
        <v>109</v>
      </c>
      <c r="B2" s="346">
        <f>'1. key ratios'!B2</f>
        <v>45291</v>
      </c>
    </row>
    <row r="4" spans="1:22" ht="28.2" thickBot="1">
      <c r="A4" s="1" t="s">
        <v>260</v>
      </c>
      <c r="B4" s="202" t="s">
        <v>295</v>
      </c>
      <c r="V4" s="140" t="s">
        <v>87</v>
      </c>
    </row>
    <row r="5" spans="1:22">
      <c r="A5" s="54"/>
      <c r="B5" s="55"/>
      <c r="C5" s="863" t="s">
        <v>116</v>
      </c>
      <c r="D5" s="864"/>
      <c r="E5" s="864"/>
      <c r="F5" s="864"/>
      <c r="G5" s="864"/>
      <c r="H5" s="864"/>
      <c r="I5" s="864"/>
      <c r="J5" s="864"/>
      <c r="K5" s="864"/>
      <c r="L5" s="865"/>
      <c r="M5" s="863" t="s">
        <v>117</v>
      </c>
      <c r="N5" s="864"/>
      <c r="O5" s="864"/>
      <c r="P5" s="864"/>
      <c r="Q5" s="864"/>
      <c r="R5" s="864"/>
      <c r="S5" s="865"/>
      <c r="T5" s="868" t="s">
        <v>293</v>
      </c>
      <c r="U5" s="868" t="s">
        <v>292</v>
      </c>
      <c r="V5" s="866" t="s">
        <v>118</v>
      </c>
    </row>
    <row r="6" spans="1:22" s="31" customFormat="1" ht="138">
      <c r="A6" s="71"/>
      <c r="B6" s="116"/>
      <c r="C6" s="52" t="s">
        <v>119</v>
      </c>
      <c r="D6" s="51" t="s">
        <v>120</v>
      </c>
      <c r="E6" s="49" t="s">
        <v>121</v>
      </c>
      <c r="F6" s="49" t="s">
        <v>287</v>
      </c>
      <c r="G6" s="51" t="s">
        <v>122</v>
      </c>
      <c r="H6" s="51" t="s">
        <v>123</v>
      </c>
      <c r="I6" s="51" t="s">
        <v>124</v>
      </c>
      <c r="J6" s="51" t="s">
        <v>153</v>
      </c>
      <c r="K6" s="51" t="s">
        <v>125</v>
      </c>
      <c r="L6" s="53" t="s">
        <v>126</v>
      </c>
      <c r="M6" s="52" t="s">
        <v>127</v>
      </c>
      <c r="N6" s="51" t="s">
        <v>128</v>
      </c>
      <c r="O6" s="51" t="s">
        <v>129</v>
      </c>
      <c r="P6" s="51" t="s">
        <v>130</v>
      </c>
      <c r="Q6" s="51" t="s">
        <v>131</v>
      </c>
      <c r="R6" s="51" t="s">
        <v>132</v>
      </c>
      <c r="S6" s="53" t="s">
        <v>133</v>
      </c>
      <c r="T6" s="869"/>
      <c r="U6" s="869"/>
      <c r="V6" s="867"/>
    </row>
    <row r="7" spans="1:22">
      <c r="A7" s="97">
        <v>1</v>
      </c>
      <c r="B7" s="96" t="s">
        <v>134</v>
      </c>
      <c r="C7" s="181"/>
      <c r="D7" s="179"/>
      <c r="E7" s="179"/>
      <c r="F7" s="179"/>
      <c r="G7" s="179"/>
      <c r="H7" s="179"/>
      <c r="I7" s="179"/>
      <c r="J7" s="179"/>
      <c r="K7" s="179"/>
      <c r="L7" s="182"/>
      <c r="M7" s="181"/>
      <c r="N7" s="179"/>
      <c r="O7" s="179"/>
      <c r="P7" s="179"/>
      <c r="Q7" s="179"/>
      <c r="R7" s="179"/>
      <c r="S7" s="182"/>
      <c r="T7" s="199"/>
      <c r="U7" s="198"/>
      <c r="V7" s="183">
        <f>SUM(C7:S7)</f>
        <v>0</v>
      </c>
    </row>
    <row r="8" spans="1:22">
      <c r="A8" s="97">
        <v>2</v>
      </c>
      <c r="B8" s="96" t="s">
        <v>135</v>
      </c>
      <c r="C8" s="181"/>
      <c r="D8" s="179"/>
      <c r="E8" s="179"/>
      <c r="F8" s="179"/>
      <c r="G8" s="179"/>
      <c r="H8" s="179"/>
      <c r="I8" s="179"/>
      <c r="J8" s="179"/>
      <c r="K8" s="179"/>
      <c r="L8" s="182"/>
      <c r="M8" s="181"/>
      <c r="N8" s="179"/>
      <c r="O8" s="179"/>
      <c r="P8" s="179"/>
      <c r="Q8" s="179"/>
      <c r="R8" s="179"/>
      <c r="S8" s="182"/>
      <c r="T8" s="198"/>
      <c r="U8" s="198"/>
      <c r="V8" s="183">
        <f t="shared" ref="V8:V20" si="0">SUM(C8:S8)</f>
        <v>0</v>
      </c>
    </row>
    <row r="9" spans="1:22">
      <c r="A9" s="97">
        <v>3</v>
      </c>
      <c r="B9" s="96" t="s">
        <v>136</v>
      </c>
      <c r="C9" s="181"/>
      <c r="D9" s="179"/>
      <c r="E9" s="179"/>
      <c r="F9" s="179"/>
      <c r="G9" s="179"/>
      <c r="H9" s="179"/>
      <c r="I9" s="179"/>
      <c r="J9" s="179"/>
      <c r="K9" s="179"/>
      <c r="L9" s="182"/>
      <c r="M9" s="181"/>
      <c r="N9" s="179"/>
      <c r="O9" s="179"/>
      <c r="P9" s="179"/>
      <c r="Q9" s="179"/>
      <c r="R9" s="179"/>
      <c r="S9" s="182"/>
      <c r="T9" s="198"/>
      <c r="U9" s="198"/>
      <c r="V9" s="183">
        <f>SUM(C9:S9)</f>
        <v>0</v>
      </c>
    </row>
    <row r="10" spans="1:22">
      <c r="A10" s="97">
        <v>4</v>
      </c>
      <c r="B10" s="96" t="s">
        <v>137</v>
      </c>
      <c r="C10" s="181"/>
      <c r="D10" s="179"/>
      <c r="E10" s="179"/>
      <c r="F10" s="179"/>
      <c r="G10" s="179"/>
      <c r="H10" s="179"/>
      <c r="I10" s="179"/>
      <c r="J10" s="179"/>
      <c r="K10" s="179"/>
      <c r="L10" s="182"/>
      <c r="M10" s="181"/>
      <c r="N10" s="179"/>
      <c r="O10" s="179"/>
      <c r="P10" s="179"/>
      <c r="Q10" s="179"/>
      <c r="R10" s="179"/>
      <c r="S10" s="182"/>
      <c r="T10" s="198"/>
      <c r="U10" s="198"/>
      <c r="V10" s="183">
        <f t="shared" si="0"/>
        <v>0</v>
      </c>
    </row>
    <row r="11" spans="1:22">
      <c r="A11" s="97">
        <v>5</v>
      </c>
      <c r="B11" s="96" t="s">
        <v>990</v>
      </c>
      <c r="C11" s="181"/>
      <c r="D11" s="179"/>
      <c r="E11" s="179"/>
      <c r="F11" s="179"/>
      <c r="G11" s="179"/>
      <c r="H11" s="179"/>
      <c r="I11" s="179"/>
      <c r="J11" s="179"/>
      <c r="K11" s="179"/>
      <c r="L11" s="182"/>
      <c r="M11" s="181"/>
      <c r="N11" s="179"/>
      <c r="O11" s="179"/>
      <c r="P11" s="179"/>
      <c r="Q11" s="179"/>
      <c r="R11" s="179"/>
      <c r="S11" s="182"/>
      <c r="T11" s="198"/>
      <c r="U11" s="198"/>
      <c r="V11" s="183">
        <f t="shared" si="0"/>
        <v>0</v>
      </c>
    </row>
    <row r="12" spans="1:22">
      <c r="A12" s="97">
        <v>6</v>
      </c>
      <c r="B12" s="96" t="s">
        <v>138</v>
      </c>
      <c r="C12" s="181"/>
      <c r="D12" s="179"/>
      <c r="E12" s="179"/>
      <c r="F12" s="179"/>
      <c r="G12" s="179"/>
      <c r="H12" s="179"/>
      <c r="I12" s="179"/>
      <c r="J12" s="179"/>
      <c r="K12" s="179"/>
      <c r="L12" s="182"/>
      <c r="M12" s="181"/>
      <c r="N12" s="179"/>
      <c r="O12" s="179"/>
      <c r="P12" s="179"/>
      <c r="Q12" s="179"/>
      <c r="R12" s="179"/>
      <c r="S12" s="182"/>
      <c r="T12" s="198"/>
      <c r="U12" s="198"/>
      <c r="V12" s="183">
        <f t="shared" si="0"/>
        <v>0</v>
      </c>
    </row>
    <row r="13" spans="1:22">
      <c r="A13" s="97">
        <v>7</v>
      </c>
      <c r="B13" s="96" t="s">
        <v>71</v>
      </c>
      <c r="C13" s="181"/>
      <c r="D13" s="179"/>
      <c r="E13" s="179"/>
      <c r="F13" s="179"/>
      <c r="G13" s="179"/>
      <c r="H13" s="179"/>
      <c r="I13" s="179"/>
      <c r="J13" s="179"/>
      <c r="K13" s="179"/>
      <c r="L13" s="182"/>
      <c r="M13" s="181"/>
      <c r="N13" s="179"/>
      <c r="O13" s="179"/>
      <c r="P13" s="179"/>
      <c r="Q13" s="179"/>
      <c r="R13" s="179"/>
      <c r="S13" s="182"/>
      <c r="T13" s="198"/>
      <c r="U13" s="198"/>
      <c r="V13" s="183">
        <f t="shared" si="0"/>
        <v>0</v>
      </c>
    </row>
    <row r="14" spans="1:22">
      <c r="A14" s="97">
        <v>8</v>
      </c>
      <c r="B14" s="96" t="s">
        <v>72</v>
      </c>
      <c r="C14" s="181"/>
      <c r="D14" s="179"/>
      <c r="E14" s="179"/>
      <c r="F14" s="179"/>
      <c r="G14" s="179"/>
      <c r="H14" s="179"/>
      <c r="I14" s="179"/>
      <c r="J14" s="179"/>
      <c r="K14" s="179"/>
      <c r="L14" s="182"/>
      <c r="M14" s="181"/>
      <c r="N14" s="179"/>
      <c r="O14" s="179"/>
      <c r="P14" s="179"/>
      <c r="Q14" s="179"/>
      <c r="R14" s="179"/>
      <c r="S14" s="182"/>
      <c r="T14" s="198"/>
      <c r="U14" s="198"/>
      <c r="V14" s="183">
        <f t="shared" si="0"/>
        <v>0</v>
      </c>
    </row>
    <row r="15" spans="1:22">
      <c r="A15" s="97">
        <v>9</v>
      </c>
      <c r="B15" s="96" t="s">
        <v>991</v>
      </c>
      <c r="C15" s="181"/>
      <c r="D15" s="179"/>
      <c r="E15" s="179"/>
      <c r="F15" s="179"/>
      <c r="G15" s="179"/>
      <c r="H15" s="179"/>
      <c r="I15" s="179"/>
      <c r="J15" s="179"/>
      <c r="K15" s="179"/>
      <c r="L15" s="182"/>
      <c r="M15" s="181"/>
      <c r="N15" s="179"/>
      <c r="O15" s="179"/>
      <c r="P15" s="179"/>
      <c r="Q15" s="179"/>
      <c r="R15" s="179"/>
      <c r="S15" s="182"/>
      <c r="T15" s="198"/>
      <c r="U15" s="198"/>
      <c r="V15" s="183">
        <f t="shared" si="0"/>
        <v>0</v>
      </c>
    </row>
    <row r="16" spans="1:22">
      <c r="A16" s="97">
        <v>10</v>
      </c>
      <c r="B16" s="96" t="s">
        <v>67</v>
      </c>
      <c r="C16" s="181"/>
      <c r="D16" s="179"/>
      <c r="E16" s="179"/>
      <c r="F16" s="179"/>
      <c r="G16" s="179"/>
      <c r="H16" s="179"/>
      <c r="I16" s="179"/>
      <c r="J16" s="179"/>
      <c r="K16" s="179"/>
      <c r="L16" s="182"/>
      <c r="M16" s="181"/>
      <c r="N16" s="179"/>
      <c r="O16" s="179"/>
      <c r="P16" s="179"/>
      <c r="Q16" s="179"/>
      <c r="R16" s="179"/>
      <c r="S16" s="182"/>
      <c r="T16" s="198"/>
      <c r="U16" s="198"/>
      <c r="V16" s="183">
        <f t="shared" si="0"/>
        <v>0</v>
      </c>
    </row>
    <row r="17" spans="1:22">
      <c r="A17" s="97">
        <v>11</v>
      </c>
      <c r="B17" s="96" t="s">
        <v>68</v>
      </c>
      <c r="C17" s="181"/>
      <c r="D17" s="179"/>
      <c r="E17" s="179"/>
      <c r="F17" s="179"/>
      <c r="G17" s="179"/>
      <c r="H17" s="179"/>
      <c r="I17" s="179"/>
      <c r="J17" s="179"/>
      <c r="K17" s="179"/>
      <c r="L17" s="182"/>
      <c r="M17" s="181"/>
      <c r="N17" s="179"/>
      <c r="O17" s="179"/>
      <c r="P17" s="179"/>
      <c r="Q17" s="179"/>
      <c r="R17" s="179"/>
      <c r="S17" s="182"/>
      <c r="T17" s="198"/>
      <c r="U17" s="198"/>
      <c r="V17" s="183">
        <f t="shared" si="0"/>
        <v>0</v>
      </c>
    </row>
    <row r="18" spans="1:22">
      <c r="A18" s="97">
        <v>12</v>
      </c>
      <c r="B18" s="96" t="s">
        <v>69</v>
      </c>
      <c r="C18" s="181"/>
      <c r="D18" s="179"/>
      <c r="E18" s="179"/>
      <c r="F18" s="179"/>
      <c r="G18" s="179"/>
      <c r="H18" s="179"/>
      <c r="I18" s="179"/>
      <c r="J18" s="179"/>
      <c r="K18" s="179"/>
      <c r="L18" s="182"/>
      <c r="M18" s="181"/>
      <c r="N18" s="179"/>
      <c r="O18" s="179"/>
      <c r="P18" s="179"/>
      <c r="Q18" s="179"/>
      <c r="R18" s="179"/>
      <c r="S18" s="182"/>
      <c r="T18" s="198"/>
      <c r="U18" s="198"/>
      <c r="V18" s="183">
        <f t="shared" si="0"/>
        <v>0</v>
      </c>
    </row>
    <row r="19" spans="1:22">
      <c r="A19" s="97">
        <v>13</v>
      </c>
      <c r="B19" s="96" t="s">
        <v>70</v>
      </c>
      <c r="C19" s="181"/>
      <c r="D19" s="179"/>
      <c r="E19" s="179"/>
      <c r="F19" s="179"/>
      <c r="G19" s="179"/>
      <c r="H19" s="179"/>
      <c r="I19" s="179"/>
      <c r="J19" s="179"/>
      <c r="K19" s="179"/>
      <c r="L19" s="182"/>
      <c r="M19" s="181"/>
      <c r="N19" s="179"/>
      <c r="O19" s="179"/>
      <c r="P19" s="179"/>
      <c r="Q19" s="179"/>
      <c r="R19" s="179"/>
      <c r="S19" s="182"/>
      <c r="T19" s="198"/>
      <c r="U19" s="198"/>
      <c r="V19" s="183">
        <f t="shared" si="0"/>
        <v>0</v>
      </c>
    </row>
    <row r="20" spans="1:22">
      <c r="A20" s="97">
        <v>14</v>
      </c>
      <c r="B20" s="96" t="s">
        <v>154</v>
      </c>
      <c r="C20" s="181"/>
      <c r="D20" s="179"/>
      <c r="E20" s="179"/>
      <c r="F20" s="179"/>
      <c r="G20" s="179"/>
      <c r="H20" s="179"/>
      <c r="I20" s="179"/>
      <c r="J20" s="179"/>
      <c r="K20" s="179"/>
      <c r="L20" s="182"/>
      <c r="M20" s="181"/>
      <c r="N20" s="179"/>
      <c r="O20" s="179"/>
      <c r="P20" s="179"/>
      <c r="Q20" s="179"/>
      <c r="R20" s="179"/>
      <c r="S20" s="182"/>
      <c r="T20" s="198"/>
      <c r="U20" s="198"/>
      <c r="V20" s="183">
        <f t="shared" si="0"/>
        <v>0</v>
      </c>
    </row>
    <row r="21" spans="1:22" ht="14.4" thickBot="1">
      <c r="A21" s="56"/>
      <c r="B21" s="57" t="s">
        <v>66</v>
      </c>
      <c r="C21" s="184">
        <f>SUM(C7:C20)</f>
        <v>0</v>
      </c>
      <c r="D21" s="180">
        <f t="shared" ref="D21:V21" si="1">SUM(D7:D20)</f>
        <v>0</v>
      </c>
      <c r="E21" s="180">
        <f t="shared" si="1"/>
        <v>0</v>
      </c>
      <c r="F21" s="180">
        <f t="shared" si="1"/>
        <v>0</v>
      </c>
      <c r="G21" s="180">
        <f t="shared" si="1"/>
        <v>0</v>
      </c>
      <c r="H21" s="180">
        <f t="shared" si="1"/>
        <v>0</v>
      </c>
      <c r="I21" s="180">
        <f t="shared" si="1"/>
        <v>0</v>
      </c>
      <c r="J21" s="180">
        <f t="shared" si="1"/>
        <v>0</v>
      </c>
      <c r="K21" s="180">
        <f t="shared" si="1"/>
        <v>0</v>
      </c>
      <c r="L21" s="185">
        <f t="shared" si="1"/>
        <v>0</v>
      </c>
      <c r="M21" s="184">
        <f t="shared" si="1"/>
        <v>0</v>
      </c>
      <c r="N21" s="180">
        <f t="shared" si="1"/>
        <v>0</v>
      </c>
      <c r="O21" s="180">
        <f t="shared" si="1"/>
        <v>0</v>
      </c>
      <c r="P21" s="180">
        <f t="shared" si="1"/>
        <v>0</v>
      </c>
      <c r="Q21" s="180">
        <f t="shared" si="1"/>
        <v>0</v>
      </c>
      <c r="R21" s="180">
        <f t="shared" si="1"/>
        <v>0</v>
      </c>
      <c r="S21" s="185">
        <f t="shared" si="1"/>
        <v>0</v>
      </c>
      <c r="T21" s="185">
        <f>SUM(T7:T20)</f>
        <v>0</v>
      </c>
      <c r="U21" s="185">
        <f t="shared" si="1"/>
        <v>0</v>
      </c>
      <c r="V21" s="186">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108</v>
      </c>
      <c r="B1" s="1" t="str">
        <f>Info!C2</f>
        <v>კრედო</v>
      </c>
    </row>
    <row r="2" spans="1:9">
      <c r="A2" s="1" t="s">
        <v>109</v>
      </c>
      <c r="B2" s="346">
        <f>'1. key ratios'!B2</f>
        <v>45291</v>
      </c>
    </row>
    <row r="4" spans="1:9" ht="14.4" thickBot="1">
      <c r="A4" s="1" t="s">
        <v>261</v>
      </c>
      <c r="B4" s="23" t="s">
        <v>296</v>
      </c>
    </row>
    <row r="5" spans="1:9">
      <c r="A5" s="54"/>
      <c r="B5" s="94"/>
      <c r="C5" s="99" t="s">
        <v>0</v>
      </c>
      <c r="D5" s="99" t="s">
        <v>1</v>
      </c>
      <c r="E5" s="99" t="s">
        <v>2</v>
      </c>
      <c r="F5" s="99" t="s">
        <v>3</v>
      </c>
      <c r="G5" s="197" t="s">
        <v>4</v>
      </c>
      <c r="H5" s="100" t="s">
        <v>5</v>
      </c>
      <c r="I5" s="18"/>
    </row>
    <row r="6" spans="1:9" ht="15" customHeight="1">
      <c r="A6" s="93"/>
      <c r="B6" s="16"/>
      <c r="C6" s="861" t="s">
        <v>288</v>
      </c>
      <c r="D6" s="872" t="s">
        <v>309</v>
      </c>
      <c r="E6" s="873"/>
      <c r="F6" s="861" t="s">
        <v>315</v>
      </c>
      <c r="G6" s="861" t="s">
        <v>316</v>
      </c>
      <c r="H6" s="870" t="s">
        <v>290</v>
      </c>
      <c r="I6" s="18"/>
    </row>
    <row r="7" spans="1:9" ht="69">
      <c r="A7" s="93"/>
      <c r="B7" s="16"/>
      <c r="C7" s="862"/>
      <c r="D7" s="200" t="s">
        <v>291</v>
      </c>
      <c r="E7" s="200" t="s">
        <v>289</v>
      </c>
      <c r="F7" s="862"/>
      <c r="G7" s="862"/>
      <c r="H7" s="871"/>
      <c r="I7" s="18"/>
    </row>
    <row r="8" spans="1:9">
      <c r="A8" s="46">
        <v>1</v>
      </c>
      <c r="B8" s="36" t="s">
        <v>134</v>
      </c>
      <c r="C8" s="179">
        <v>169985590.62</v>
      </c>
      <c r="D8" s="179"/>
      <c r="E8" s="179"/>
      <c r="F8" s="179">
        <v>48827621.170000002</v>
      </c>
      <c r="G8" s="196">
        <v>48827621.170000002</v>
      </c>
      <c r="H8" s="203">
        <f t="shared" ref="H8:H21" si="0">IFERROR(G8/(C8+E8),"")</f>
        <v>0.2872456482452877</v>
      </c>
    </row>
    <row r="9" spans="1:9" ht="15" customHeight="1">
      <c r="A9" s="46">
        <v>2</v>
      </c>
      <c r="B9" s="36" t="s">
        <v>135</v>
      </c>
      <c r="C9" s="179"/>
      <c r="D9" s="179"/>
      <c r="E9" s="179"/>
      <c r="F9" s="179"/>
      <c r="G9" s="196"/>
      <c r="H9" s="203" t="str">
        <f t="shared" si="0"/>
        <v/>
      </c>
    </row>
    <row r="10" spans="1:9">
      <c r="A10" s="46">
        <v>3</v>
      </c>
      <c r="B10" s="36" t="s">
        <v>136</v>
      </c>
      <c r="C10" s="179">
        <v>26136325.489999998</v>
      </c>
      <c r="D10" s="179"/>
      <c r="E10" s="179"/>
      <c r="F10" s="789">
        <v>0</v>
      </c>
      <c r="G10" s="196">
        <v>0</v>
      </c>
      <c r="H10" s="203">
        <f t="shared" si="0"/>
        <v>0</v>
      </c>
    </row>
    <row r="11" spans="1:9">
      <c r="A11" s="46">
        <v>4</v>
      </c>
      <c r="B11" s="36" t="s">
        <v>137</v>
      </c>
      <c r="C11" s="179"/>
      <c r="D11" s="179"/>
      <c r="E11" s="179"/>
      <c r="F11" s="179"/>
      <c r="G11" s="196"/>
      <c r="H11" s="203" t="str">
        <f t="shared" si="0"/>
        <v/>
      </c>
    </row>
    <row r="12" spans="1:9">
      <c r="A12" s="46">
        <v>5</v>
      </c>
      <c r="B12" s="36" t="s">
        <v>990</v>
      </c>
      <c r="C12" s="179"/>
      <c r="D12" s="179"/>
      <c r="E12" s="179"/>
      <c r="F12" s="179"/>
      <c r="G12" s="196"/>
      <c r="H12" s="203" t="str">
        <f t="shared" si="0"/>
        <v/>
      </c>
    </row>
    <row r="13" spans="1:9">
      <c r="A13" s="46">
        <v>6</v>
      </c>
      <c r="B13" s="36" t="s">
        <v>138</v>
      </c>
      <c r="C13" s="179">
        <v>82546122.360300004</v>
      </c>
      <c r="D13" s="179"/>
      <c r="E13" s="179"/>
      <c r="F13" s="179">
        <v>23574183.21015</v>
      </c>
      <c r="G13" s="196">
        <v>23574183.21015</v>
      </c>
      <c r="H13" s="203">
        <f t="shared" si="0"/>
        <v>0.2855880147495316</v>
      </c>
    </row>
    <row r="14" spans="1:9">
      <c r="A14" s="46">
        <v>7</v>
      </c>
      <c r="B14" s="36" t="s">
        <v>71</v>
      </c>
      <c r="C14" s="179">
        <v>23160963.758971184</v>
      </c>
      <c r="D14" s="788">
        <v>2689400</v>
      </c>
      <c r="E14" s="179">
        <v>1344700</v>
      </c>
      <c r="F14" s="179">
        <v>24505663.758971184</v>
      </c>
      <c r="G14" s="196">
        <v>24505663.758971184</v>
      </c>
      <c r="H14" s="203">
        <f t="shared" si="0"/>
        <v>1</v>
      </c>
    </row>
    <row r="15" spans="1:9">
      <c r="A15" s="46">
        <v>8</v>
      </c>
      <c r="B15" s="36" t="s">
        <v>72</v>
      </c>
      <c r="C15" s="179">
        <v>1853251381.3734131</v>
      </c>
      <c r="D15" s="179">
        <v>53510164</v>
      </c>
      <c r="E15" s="179">
        <v>26427216</v>
      </c>
      <c r="F15" s="179">
        <f>1879678597.37341*0.75</f>
        <v>1409758948.0300574</v>
      </c>
      <c r="G15" s="196">
        <v>1409758948.0300574</v>
      </c>
      <c r="H15" s="203">
        <f t="shared" si="0"/>
        <v>0.74999999999999878</v>
      </c>
    </row>
    <row r="16" spans="1:9">
      <c r="A16" s="46">
        <v>9</v>
      </c>
      <c r="B16" s="36" t="s">
        <v>991</v>
      </c>
      <c r="C16" s="179">
        <v>101432489.06120661</v>
      </c>
      <c r="D16" s="179"/>
      <c r="E16" s="179"/>
      <c r="F16" s="179">
        <v>35501371.17142231</v>
      </c>
      <c r="G16" s="196">
        <v>35501371.17142231</v>
      </c>
      <c r="H16" s="203">
        <f t="shared" si="0"/>
        <v>0.35</v>
      </c>
    </row>
    <row r="17" spans="1:8">
      <c r="A17" s="46">
        <v>10</v>
      </c>
      <c r="B17" s="36" t="s">
        <v>67</v>
      </c>
      <c r="C17" s="179">
        <v>7301218.092268182</v>
      </c>
      <c r="D17" s="179"/>
      <c r="E17" s="179"/>
      <c r="F17" s="179">
        <v>9517480.7083377503</v>
      </c>
      <c r="G17" s="196">
        <v>9517480.7083377503</v>
      </c>
      <c r="H17" s="203">
        <f t="shared" si="0"/>
        <v>1.3035469681992569</v>
      </c>
    </row>
    <row r="18" spans="1:8">
      <c r="A18" s="46">
        <v>11</v>
      </c>
      <c r="B18" s="36" t="s">
        <v>68</v>
      </c>
      <c r="C18" s="179"/>
      <c r="D18" s="179"/>
      <c r="E18" s="179"/>
      <c r="F18" s="179"/>
      <c r="G18" s="196"/>
      <c r="H18" s="203" t="str">
        <f t="shared" si="0"/>
        <v/>
      </c>
    </row>
    <row r="19" spans="1:8">
      <c r="A19" s="46">
        <v>12</v>
      </c>
      <c r="B19" s="36" t="s">
        <v>69</v>
      </c>
      <c r="C19" s="179"/>
      <c r="D19" s="179"/>
      <c r="E19" s="179"/>
      <c r="F19" s="179"/>
      <c r="G19" s="196"/>
      <c r="H19" s="203" t="str">
        <f t="shared" si="0"/>
        <v/>
      </c>
    </row>
    <row r="20" spans="1:8">
      <c r="A20" s="46">
        <v>13</v>
      </c>
      <c r="B20" s="36" t="s">
        <v>70</v>
      </c>
      <c r="C20" s="179"/>
      <c r="D20" s="179"/>
      <c r="E20" s="179"/>
      <c r="F20" s="179"/>
      <c r="G20" s="196"/>
      <c r="H20" s="203" t="str">
        <f t="shared" si="0"/>
        <v/>
      </c>
    </row>
    <row r="21" spans="1:8">
      <c r="A21" s="46">
        <v>14</v>
      </c>
      <c r="B21" s="36" t="s">
        <v>154</v>
      </c>
      <c r="C21" s="179">
        <v>182889587.16000003</v>
      </c>
      <c r="D21" s="179"/>
      <c r="E21" s="179"/>
      <c r="F21" s="179">
        <v>91660633.470000029</v>
      </c>
      <c r="G21" s="196">
        <v>91660633.470000029</v>
      </c>
      <c r="H21" s="203">
        <f t="shared" si="0"/>
        <v>0.50118016500201945</v>
      </c>
    </row>
    <row r="22" spans="1:8" ht="14.4" thickBot="1">
      <c r="A22" s="95"/>
      <c r="B22" s="101" t="s">
        <v>66</v>
      </c>
      <c r="C22" s="180">
        <f>SUM(C8:C21)</f>
        <v>2446703677.9161587</v>
      </c>
      <c r="D22" s="180">
        <f>SUM(D8:D21)</f>
        <v>56199564</v>
      </c>
      <c r="E22" s="180">
        <f>SUM(E8:E21)</f>
        <v>27771916</v>
      </c>
      <c r="F22" s="180">
        <f>SUM(F8:F21)</f>
        <v>1643345901.5189388</v>
      </c>
      <c r="G22" s="180">
        <f>SUM(G8:G21)</f>
        <v>1643345901.5189388</v>
      </c>
      <c r="H22" s="204">
        <f>G22/(C22+E22)</f>
        <v>0.66411885635862911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3"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 bestFit="1" customWidth="1"/>
    <col min="2" max="2" width="91" style="1" customWidth="1"/>
    <col min="3" max="11" width="12.77734375" style="1" customWidth="1"/>
    <col min="12" max="16384" width="9.21875" style="1"/>
  </cols>
  <sheetData>
    <row r="1" spans="1:11">
      <c r="A1" s="1" t="s">
        <v>108</v>
      </c>
      <c r="B1" s="1" t="str">
        <f>Info!C2</f>
        <v>კრედო</v>
      </c>
    </row>
    <row r="2" spans="1:11">
      <c r="A2" s="1" t="s">
        <v>109</v>
      </c>
      <c r="B2" s="346">
        <f>'1. key ratios'!B2</f>
        <v>45291</v>
      </c>
    </row>
    <row r="4" spans="1:11" ht="14.4" thickBot="1">
      <c r="A4" s="1" t="s">
        <v>352</v>
      </c>
      <c r="B4" s="23" t="s">
        <v>351</v>
      </c>
    </row>
    <row r="5" spans="1:11" ht="30" customHeight="1">
      <c r="A5" s="877"/>
      <c r="B5" s="878"/>
      <c r="C5" s="875" t="s">
        <v>384</v>
      </c>
      <c r="D5" s="875"/>
      <c r="E5" s="875"/>
      <c r="F5" s="875" t="s">
        <v>385</v>
      </c>
      <c r="G5" s="875"/>
      <c r="H5" s="875"/>
      <c r="I5" s="875" t="s">
        <v>386</v>
      </c>
      <c r="J5" s="875"/>
      <c r="K5" s="876"/>
    </row>
    <row r="6" spans="1:11">
      <c r="A6" s="229"/>
      <c r="B6" s="230"/>
      <c r="C6" s="231" t="s">
        <v>26</v>
      </c>
      <c r="D6" s="231" t="s">
        <v>90</v>
      </c>
      <c r="E6" s="231" t="s">
        <v>66</v>
      </c>
      <c r="F6" s="231" t="s">
        <v>26</v>
      </c>
      <c r="G6" s="231" t="s">
        <v>90</v>
      </c>
      <c r="H6" s="231" t="s">
        <v>66</v>
      </c>
      <c r="I6" s="231" t="s">
        <v>26</v>
      </c>
      <c r="J6" s="231" t="s">
        <v>90</v>
      </c>
      <c r="K6" s="233" t="s">
        <v>66</v>
      </c>
    </row>
    <row r="7" spans="1:11">
      <c r="A7" s="234" t="s">
        <v>322</v>
      </c>
      <c r="B7" s="228"/>
      <c r="C7" s="228"/>
      <c r="D7" s="228"/>
      <c r="E7" s="228"/>
      <c r="F7" s="228"/>
      <c r="G7" s="228"/>
      <c r="H7" s="228"/>
      <c r="I7" s="228"/>
      <c r="J7" s="228"/>
      <c r="K7" s="235"/>
    </row>
    <row r="8" spans="1:11">
      <c r="A8" s="227">
        <v>1</v>
      </c>
      <c r="B8" s="211" t="s">
        <v>322</v>
      </c>
      <c r="C8" s="209"/>
      <c r="D8" s="209"/>
      <c r="E8" s="209"/>
      <c r="F8" s="657">
        <v>129257748.15500356</v>
      </c>
      <c r="G8" s="657">
        <v>181108508.66558778</v>
      </c>
      <c r="H8" s="658">
        <f>F8+G8</f>
        <v>310366256.82059133</v>
      </c>
      <c r="I8" s="657">
        <v>115577351.7664516</v>
      </c>
      <c r="J8" s="657">
        <v>78141272.027620077</v>
      </c>
      <c r="K8" s="659">
        <f>I8+J8</f>
        <v>193718623.79407167</v>
      </c>
    </row>
    <row r="9" spans="1:11">
      <c r="A9" s="234" t="s">
        <v>323</v>
      </c>
      <c r="B9" s="228"/>
      <c r="C9" s="228"/>
      <c r="D9" s="228"/>
      <c r="E9" s="228"/>
      <c r="F9" s="228"/>
      <c r="G9" s="228"/>
      <c r="H9" s="228"/>
      <c r="I9" s="228"/>
      <c r="J9" s="228"/>
      <c r="K9" s="235"/>
    </row>
    <row r="10" spans="1:11">
      <c r="A10" s="236">
        <v>2</v>
      </c>
      <c r="B10" s="212" t="s">
        <v>324</v>
      </c>
      <c r="C10" s="365">
        <v>236033162.83946082</v>
      </c>
      <c r="D10" s="660">
        <v>221728602.56817684</v>
      </c>
      <c r="E10" s="661">
        <f>C10+D10</f>
        <v>457761765.40763766</v>
      </c>
      <c r="F10" s="660">
        <v>59559818.64903897</v>
      </c>
      <c r="G10" s="660">
        <v>57795522.18299415</v>
      </c>
      <c r="H10" s="661">
        <f>F10+G10</f>
        <v>117355340.83203313</v>
      </c>
      <c r="I10" s="660">
        <v>11801658.141973043</v>
      </c>
      <c r="J10" s="660">
        <v>11086430.128408844</v>
      </c>
      <c r="K10" s="662">
        <f>I10+J10</f>
        <v>22888088.270381887</v>
      </c>
    </row>
    <row r="11" spans="1:11">
      <c r="A11" s="236">
        <v>3</v>
      </c>
      <c r="B11" s="212" t="s">
        <v>325</v>
      </c>
      <c r="C11" s="365">
        <v>158384954.47583932</v>
      </c>
      <c r="D11" s="660">
        <v>27255182.043639548</v>
      </c>
      <c r="E11" s="661">
        <f t="shared" ref="E11:E15" si="0">C11+D11</f>
        <v>185640136.51947886</v>
      </c>
      <c r="F11" s="660">
        <v>80594121.942739308</v>
      </c>
      <c r="G11" s="660">
        <v>19776322.702770606</v>
      </c>
      <c r="H11" s="661">
        <f t="shared" ref="H11:H15" si="1">F11+G11</f>
        <v>100370444.64550991</v>
      </c>
      <c r="I11" s="660">
        <v>73052458.999019951</v>
      </c>
      <c r="J11" s="660">
        <v>19728217.63684256</v>
      </c>
      <c r="K11" s="662">
        <f t="shared" ref="K11:K15" si="2">I11+J11</f>
        <v>92780676.635862514</v>
      </c>
    </row>
    <row r="12" spans="1:11">
      <c r="A12" s="236">
        <v>4</v>
      </c>
      <c r="B12" s="212" t="s">
        <v>326</v>
      </c>
      <c r="C12" s="365">
        <v>48968279.569892474</v>
      </c>
      <c r="D12" s="660">
        <v>0</v>
      </c>
      <c r="E12" s="661">
        <f t="shared" si="0"/>
        <v>48968279.569892474</v>
      </c>
      <c r="F12" s="660">
        <v>0</v>
      </c>
      <c r="G12" s="660">
        <v>0</v>
      </c>
      <c r="H12" s="661">
        <f t="shared" si="1"/>
        <v>0</v>
      </c>
      <c r="I12" s="660">
        <v>0</v>
      </c>
      <c r="J12" s="660">
        <v>0</v>
      </c>
      <c r="K12" s="662">
        <f t="shared" si="2"/>
        <v>0</v>
      </c>
    </row>
    <row r="13" spans="1:11">
      <c r="A13" s="236">
        <v>5</v>
      </c>
      <c r="B13" s="212" t="s">
        <v>327</v>
      </c>
      <c r="C13" s="365">
        <v>25327168.579904661</v>
      </c>
      <c r="D13" s="660">
        <v>9288543.4958179221</v>
      </c>
      <c r="E13" s="661">
        <f t="shared" si="0"/>
        <v>34615712.075722583</v>
      </c>
      <c r="F13" s="660">
        <v>7598150.5739713982</v>
      </c>
      <c r="G13" s="660">
        <v>2786563.0487453765</v>
      </c>
      <c r="H13" s="661">
        <f t="shared" si="1"/>
        <v>10384713.622716775</v>
      </c>
      <c r="I13" s="660">
        <v>1266358.428995233</v>
      </c>
      <c r="J13" s="660">
        <v>464427.17479089613</v>
      </c>
      <c r="K13" s="662">
        <f t="shared" si="2"/>
        <v>1730785.603786129</v>
      </c>
    </row>
    <row r="14" spans="1:11">
      <c r="A14" s="236">
        <v>6</v>
      </c>
      <c r="B14" s="212" t="s">
        <v>342</v>
      </c>
      <c r="C14" s="365"/>
      <c r="D14" s="660"/>
      <c r="E14" s="661">
        <f t="shared" si="0"/>
        <v>0</v>
      </c>
      <c r="F14" s="660"/>
      <c r="G14" s="660"/>
      <c r="H14" s="661">
        <f t="shared" si="1"/>
        <v>0</v>
      </c>
      <c r="I14" s="660"/>
      <c r="J14" s="660"/>
      <c r="K14" s="662">
        <f t="shared" si="2"/>
        <v>0</v>
      </c>
    </row>
    <row r="15" spans="1:11">
      <c r="A15" s="236">
        <v>7</v>
      </c>
      <c r="B15" s="212" t="s">
        <v>329</v>
      </c>
      <c r="C15" s="365">
        <v>7254355.7476272397</v>
      </c>
      <c r="D15" s="660">
        <v>3990885.645243729</v>
      </c>
      <c r="E15" s="661">
        <f t="shared" si="0"/>
        <v>11245241.392870968</v>
      </c>
      <c r="F15" s="660">
        <v>7254355.7476272397</v>
      </c>
      <c r="G15" s="660">
        <v>3990885.645243729</v>
      </c>
      <c r="H15" s="661">
        <f t="shared" si="1"/>
        <v>11245241.392870968</v>
      </c>
      <c r="I15" s="660">
        <v>7254355.7476272397</v>
      </c>
      <c r="J15" s="660">
        <v>3990885.645243729</v>
      </c>
      <c r="K15" s="662">
        <f t="shared" si="2"/>
        <v>11245241.392870968</v>
      </c>
    </row>
    <row r="16" spans="1:11">
      <c r="A16" s="236">
        <v>8</v>
      </c>
      <c r="B16" s="214" t="s">
        <v>330</v>
      </c>
      <c r="C16" s="663">
        <f t="shared" ref="C16:K16" si="3">SUM(C10:C15)</f>
        <v>475967921.21272451</v>
      </c>
      <c r="D16" s="663">
        <f t="shared" si="3"/>
        <v>262263213.75287804</v>
      </c>
      <c r="E16" s="663">
        <f t="shared" si="3"/>
        <v>738231134.96560264</v>
      </c>
      <c r="F16" s="663">
        <f t="shared" si="3"/>
        <v>155006446.9133769</v>
      </c>
      <c r="G16" s="663">
        <f t="shared" si="3"/>
        <v>84349293.579753861</v>
      </c>
      <c r="H16" s="663">
        <f t="shared" si="3"/>
        <v>239355740.4931308</v>
      </c>
      <c r="I16" s="663">
        <f t="shared" si="3"/>
        <v>93374831.317615479</v>
      </c>
      <c r="J16" s="663">
        <f t="shared" si="3"/>
        <v>35269960.585286029</v>
      </c>
      <c r="K16" s="663">
        <f t="shared" si="3"/>
        <v>128644791.90290149</v>
      </c>
    </row>
    <row r="17" spans="1:11">
      <c r="A17" s="234" t="s">
        <v>331</v>
      </c>
      <c r="B17" s="228"/>
      <c r="C17" s="228"/>
      <c r="D17" s="228"/>
      <c r="E17" s="228"/>
      <c r="F17" s="228"/>
      <c r="G17" s="228"/>
      <c r="H17" s="228"/>
      <c r="I17" s="228"/>
      <c r="J17" s="228"/>
      <c r="K17" s="235"/>
    </row>
    <row r="18" spans="1:11">
      <c r="A18" s="236">
        <v>9</v>
      </c>
      <c r="B18" s="212" t="s">
        <v>332</v>
      </c>
      <c r="C18" s="212"/>
      <c r="D18" s="213"/>
      <c r="E18" s="213"/>
      <c r="F18" s="213"/>
      <c r="G18" s="213"/>
      <c r="H18" s="213"/>
      <c r="I18" s="213"/>
      <c r="J18" s="213"/>
      <c r="K18" s="237"/>
    </row>
    <row r="19" spans="1:11">
      <c r="A19" s="236">
        <v>10</v>
      </c>
      <c r="B19" s="212" t="s">
        <v>333</v>
      </c>
      <c r="C19" s="365">
        <v>94824981.077680424</v>
      </c>
      <c r="D19" s="660">
        <v>3293235.4676565533</v>
      </c>
      <c r="E19" s="660">
        <f>C19+D19</f>
        <v>98118216.545336977</v>
      </c>
      <c r="F19" s="660">
        <v>47412490.538840212</v>
      </c>
      <c r="G19" s="660">
        <v>1646617.7338282766</v>
      </c>
      <c r="H19" s="660">
        <f>F19+G19</f>
        <v>49059108.272668488</v>
      </c>
      <c r="I19" s="660">
        <v>113776915.24280438</v>
      </c>
      <c r="J19" s="660">
        <v>104780834.19212577</v>
      </c>
      <c r="K19" s="660">
        <f>I19+J19</f>
        <v>218557749.43493015</v>
      </c>
    </row>
    <row r="20" spans="1:11">
      <c r="A20" s="236">
        <v>11</v>
      </c>
      <c r="B20" s="212" t="s">
        <v>334</v>
      </c>
      <c r="C20" s="212"/>
      <c r="D20" s="213"/>
      <c r="E20" s="213"/>
      <c r="F20" s="213"/>
      <c r="G20" s="213"/>
      <c r="H20" s="213"/>
      <c r="I20" s="213"/>
      <c r="J20" s="213"/>
      <c r="K20" s="237"/>
    </row>
    <row r="21" spans="1:11" ht="14.4" thickBot="1">
      <c r="A21" s="148">
        <v>12</v>
      </c>
      <c r="B21" s="238" t="s">
        <v>335</v>
      </c>
      <c r="C21" s="664">
        <f>SUM(C18:C20)</f>
        <v>94824981.077680424</v>
      </c>
      <c r="D21" s="664">
        <f t="shared" ref="D21:K21" si="4">SUM(D18:D20)</f>
        <v>3293235.4676565533</v>
      </c>
      <c r="E21" s="664">
        <f t="shared" si="4"/>
        <v>98118216.545336977</v>
      </c>
      <c r="F21" s="664">
        <f t="shared" si="4"/>
        <v>47412490.538840212</v>
      </c>
      <c r="G21" s="664">
        <f t="shared" si="4"/>
        <v>1646617.7338282766</v>
      </c>
      <c r="H21" s="664">
        <f t="shared" si="4"/>
        <v>49059108.272668488</v>
      </c>
      <c r="I21" s="664">
        <f t="shared" si="4"/>
        <v>113776915.24280438</v>
      </c>
      <c r="J21" s="664">
        <f t="shared" si="4"/>
        <v>104780834.19212577</v>
      </c>
      <c r="K21" s="664">
        <f t="shared" si="4"/>
        <v>218557749.43493015</v>
      </c>
    </row>
    <row r="22" spans="1:11" ht="38.25" customHeight="1" thickBot="1">
      <c r="A22" s="225"/>
      <c r="B22" s="226"/>
      <c r="C22" s="226"/>
      <c r="D22" s="226"/>
      <c r="E22" s="226"/>
      <c r="F22" s="874" t="s">
        <v>336</v>
      </c>
      <c r="G22" s="875"/>
      <c r="H22" s="875"/>
      <c r="I22" s="874" t="s">
        <v>337</v>
      </c>
      <c r="J22" s="875"/>
      <c r="K22" s="876"/>
    </row>
    <row r="23" spans="1:11" ht="14.4" thickBot="1">
      <c r="A23" s="218">
        <v>13</v>
      </c>
      <c r="B23" s="215" t="s">
        <v>322</v>
      </c>
      <c r="C23" s="224"/>
      <c r="D23" s="224"/>
      <c r="E23" s="224"/>
      <c r="F23" s="665">
        <f>F8</f>
        <v>129257748.15500356</v>
      </c>
      <c r="G23" s="665">
        <f>G8</f>
        <v>181108508.66558778</v>
      </c>
      <c r="H23" s="666">
        <f>F23+G23</f>
        <v>310366256.82059133</v>
      </c>
      <c r="I23" s="665">
        <f>I8</f>
        <v>115577351.7664516</v>
      </c>
      <c r="J23" s="665">
        <f>J8</f>
        <v>78141272.027620077</v>
      </c>
      <c r="K23" s="667">
        <f>I23+J23</f>
        <v>193718623.79407167</v>
      </c>
    </row>
    <row r="24" spans="1:11" ht="14.4" thickBot="1">
      <c r="A24" s="219">
        <v>14</v>
      </c>
      <c r="B24" s="216" t="s">
        <v>338</v>
      </c>
      <c r="C24" s="239"/>
      <c r="D24" s="222"/>
      <c r="E24" s="223"/>
      <c r="F24" s="668">
        <f>MAX(F16-F21,F16*0.25)</f>
        <v>107593956.37453669</v>
      </c>
      <c r="G24" s="668">
        <f>MAX(G16-G21,G16*0.25)</f>
        <v>82702675.845925584</v>
      </c>
      <c r="H24" s="666">
        <f>F24+G24</f>
        <v>190296632.22046226</v>
      </c>
      <c r="I24" s="668">
        <f>MAX(I16-I21,I16*0.25)</f>
        <v>23343707.82940387</v>
      </c>
      <c r="J24" s="668">
        <f>MAX(J16-J21,J16*0.25)</f>
        <v>8817490.1463215072</v>
      </c>
      <c r="K24" s="667">
        <f>I24+J24</f>
        <v>32161197.975725375</v>
      </c>
    </row>
    <row r="25" spans="1:11" ht="14.4" thickBot="1">
      <c r="A25" s="220">
        <v>15</v>
      </c>
      <c r="B25" s="217" t="s">
        <v>339</v>
      </c>
      <c r="C25" s="221"/>
      <c r="D25" s="221"/>
      <c r="E25" s="221"/>
      <c r="F25" s="669">
        <f t="shared" ref="F25:K25" si="5">F23/F24</f>
        <v>1.2013476640365819</v>
      </c>
      <c r="G25" s="669">
        <f t="shared" si="5"/>
        <v>2.1898748355251705</v>
      </c>
      <c r="H25" s="669">
        <f t="shared" si="5"/>
        <v>1.6309603233599328</v>
      </c>
      <c r="I25" s="669">
        <f t="shared" si="5"/>
        <v>4.9511137052901981</v>
      </c>
      <c r="J25" s="669">
        <f t="shared" si="5"/>
        <v>8.8620764787833828</v>
      </c>
      <c r="K25" s="670">
        <f t="shared" si="5"/>
        <v>6.0233646750437151</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90" zoomScaleNormal="90" workbookViewId="0">
      <pane xSplit="1" ySplit="5" topLeftCell="C6" activePane="bottomRight" state="frozen"/>
      <selection pane="topRight" activeCell="B1" sqref="B1"/>
      <selection pane="bottomLeft" activeCell="A5" sqref="A5"/>
      <selection pane="bottomRight" activeCell="K8" sqref="K8"/>
    </sheetView>
  </sheetViews>
  <sheetFormatPr defaultColWidth="9.21875" defaultRowHeight="13.8"/>
  <cols>
    <col min="1" max="1" width="10.5546875" style="32" bestFit="1" customWidth="1"/>
    <col min="2" max="2" width="95" style="32" customWidth="1"/>
    <col min="3" max="3" width="15.33203125" style="32"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108</v>
      </c>
      <c r="B1" s="32" t="str">
        <f>Info!C2</f>
        <v>კრედო</v>
      </c>
    </row>
    <row r="2" spans="1:14" ht="14.25" customHeight="1">
      <c r="A2" s="32" t="s">
        <v>109</v>
      </c>
      <c r="B2" s="346">
        <f>'1. key ratios'!B2</f>
        <v>45291</v>
      </c>
    </row>
    <row r="3" spans="1:14" ht="14.25" customHeight="1"/>
    <row r="4" spans="1:14" ht="14.4" thickBot="1">
      <c r="A4" s="1" t="s">
        <v>262</v>
      </c>
      <c r="B4" s="48" t="s">
        <v>74</v>
      </c>
    </row>
    <row r="5" spans="1:14" s="19" customFormat="1">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1.4">
      <c r="A6" s="102"/>
      <c r="B6" s="58"/>
      <c r="C6" s="59" t="s">
        <v>84</v>
      </c>
      <c r="D6" s="60" t="s">
        <v>73</v>
      </c>
      <c r="E6" s="61" t="s">
        <v>83</v>
      </c>
      <c r="F6" s="62">
        <v>0</v>
      </c>
      <c r="G6" s="62">
        <v>0.2</v>
      </c>
      <c r="H6" s="62">
        <v>0.35</v>
      </c>
      <c r="I6" s="62">
        <v>0.5</v>
      </c>
      <c r="J6" s="62">
        <v>0.75</v>
      </c>
      <c r="K6" s="62">
        <v>1</v>
      </c>
      <c r="L6" s="62">
        <v>1.5</v>
      </c>
      <c r="M6" s="62">
        <v>2.5</v>
      </c>
      <c r="N6" s="103" t="s">
        <v>74</v>
      </c>
    </row>
    <row r="7" spans="1:14">
      <c r="A7" s="104">
        <v>1</v>
      </c>
      <c r="B7" s="63" t="s">
        <v>75</v>
      </c>
      <c r="C7" s="187">
        <f>SUM(C8:C13)</f>
        <v>230946324.5</v>
      </c>
      <c r="D7" s="58"/>
      <c r="E7" s="190">
        <f t="shared" ref="E7:M7" si="0">SUM(E8:E13)</f>
        <v>4618926.49</v>
      </c>
      <c r="F7" s="187">
        <f>SUM(F8:F13)</f>
        <v>0</v>
      </c>
      <c r="G7" s="187">
        <f t="shared" si="0"/>
        <v>0</v>
      </c>
      <c r="H7" s="187">
        <f t="shared" si="0"/>
        <v>0</v>
      </c>
      <c r="I7" s="187">
        <f t="shared" si="0"/>
        <v>0</v>
      </c>
      <c r="J7" s="187">
        <f t="shared" si="0"/>
        <v>0</v>
      </c>
      <c r="K7" s="187">
        <f t="shared" si="0"/>
        <v>4618926.49</v>
      </c>
      <c r="L7" s="187">
        <f t="shared" si="0"/>
        <v>0</v>
      </c>
      <c r="M7" s="187">
        <f t="shared" si="0"/>
        <v>0</v>
      </c>
      <c r="N7" s="105">
        <f>SUM(N8:N13)</f>
        <v>4618926.49</v>
      </c>
    </row>
    <row r="8" spans="1:14">
      <c r="A8" s="104">
        <v>1.1000000000000001</v>
      </c>
      <c r="B8" s="64" t="s">
        <v>76</v>
      </c>
      <c r="C8" s="188">
        <v>230946324.5</v>
      </c>
      <c r="D8" s="65">
        <v>0.02</v>
      </c>
      <c r="E8" s="190">
        <f>C8*D8</f>
        <v>4618926.49</v>
      </c>
      <c r="F8" s="188"/>
      <c r="G8" s="188"/>
      <c r="H8" s="188"/>
      <c r="I8" s="188"/>
      <c r="J8" s="188"/>
      <c r="K8" s="188">
        <v>4618926.49</v>
      </c>
      <c r="L8" s="188"/>
      <c r="M8" s="188"/>
      <c r="N8" s="105">
        <f>SUMPRODUCT($F$6:$M$6,F8:M8)</f>
        <v>4618926.49</v>
      </c>
    </row>
    <row r="9" spans="1:14">
      <c r="A9" s="104">
        <v>1.2</v>
      </c>
      <c r="B9" s="64" t="s">
        <v>77</v>
      </c>
      <c r="C9" s="188">
        <v>0</v>
      </c>
      <c r="D9" s="65">
        <v>0.05</v>
      </c>
      <c r="E9" s="190">
        <f>C9*D9</f>
        <v>0</v>
      </c>
      <c r="F9" s="188"/>
      <c r="G9" s="188"/>
      <c r="H9" s="188"/>
      <c r="I9" s="188"/>
      <c r="J9" s="188"/>
      <c r="K9" s="188"/>
      <c r="L9" s="188"/>
      <c r="M9" s="188"/>
      <c r="N9" s="105">
        <f t="shared" ref="N9:N12" si="1">SUMPRODUCT($F$6:$M$6,F9:M9)</f>
        <v>0</v>
      </c>
    </row>
    <row r="10" spans="1:14">
      <c r="A10" s="104">
        <v>1.3</v>
      </c>
      <c r="B10" s="64" t="s">
        <v>78</v>
      </c>
      <c r="C10" s="188">
        <v>0</v>
      </c>
      <c r="D10" s="65">
        <v>0.08</v>
      </c>
      <c r="E10" s="190">
        <f>C10*D10</f>
        <v>0</v>
      </c>
      <c r="F10" s="188"/>
      <c r="G10" s="188"/>
      <c r="H10" s="188"/>
      <c r="I10" s="188"/>
      <c r="J10" s="188"/>
      <c r="K10" s="188"/>
      <c r="L10" s="188"/>
      <c r="M10" s="188"/>
      <c r="N10" s="105">
        <f>SUMPRODUCT($F$6:$M$6,F10:M10)</f>
        <v>0</v>
      </c>
    </row>
    <row r="11" spans="1:14">
      <c r="A11" s="104">
        <v>1.4</v>
      </c>
      <c r="B11" s="64" t="s">
        <v>79</v>
      </c>
      <c r="C11" s="188">
        <v>0</v>
      </c>
      <c r="D11" s="65">
        <v>0.11</v>
      </c>
      <c r="E11" s="190">
        <f>C11*D11</f>
        <v>0</v>
      </c>
      <c r="F11" s="188"/>
      <c r="G11" s="188"/>
      <c r="H11" s="188"/>
      <c r="I11" s="188"/>
      <c r="J11" s="188"/>
      <c r="K11" s="188"/>
      <c r="L11" s="188"/>
      <c r="M11" s="188"/>
      <c r="N11" s="105">
        <f t="shared" si="1"/>
        <v>0</v>
      </c>
    </row>
    <row r="12" spans="1:14">
      <c r="A12" s="104">
        <v>1.5</v>
      </c>
      <c r="B12" s="64" t="s">
        <v>80</v>
      </c>
      <c r="C12" s="188">
        <v>0</v>
      </c>
      <c r="D12" s="65">
        <v>0.14000000000000001</v>
      </c>
      <c r="E12" s="190">
        <f>C12*D12</f>
        <v>0</v>
      </c>
      <c r="F12" s="188"/>
      <c r="G12" s="188"/>
      <c r="H12" s="188"/>
      <c r="I12" s="188"/>
      <c r="J12" s="188"/>
      <c r="K12" s="188"/>
      <c r="L12" s="188"/>
      <c r="M12" s="188"/>
      <c r="N12" s="105">
        <f t="shared" si="1"/>
        <v>0</v>
      </c>
    </row>
    <row r="13" spans="1:14">
      <c r="A13" s="104">
        <v>1.6</v>
      </c>
      <c r="B13" s="66" t="s">
        <v>81</v>
      </c>
      <c r="C13" s="188">
        <v>0</v>
      </c>
      <c r="D13" s="67"/>
      <c r="E13" s="188"/>
      <c r="F13" s="188"/>
      <c r="G13" s="188"/>
      <c r="H13" s="188"/>
      <c r="I13" s="188"/>
      <c r="J13" s="188"/>
      <c r="K13" s="188"/>
      <c r="L13" s="188"/>
      <c r="M13" s="188"/>
      <c r="N13" s="105">
        <f>SUMPRODUCT($F$6:$M$6,F13:M13)</f>
        <v>0</v>
      </c>
    </row>
    <row r="14" spans="1:14">
      <c r="A14" s="104">
        <v>2</v>
      </c>
      <c r="B14" s="68" t="s">
        <v>82</v>
      </c>
      <c r="C14" s="187">
        <f>SUM(C15:C20)</f>
        <v>0</v>
      </c>
      <c r="D14" s="58"/>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66" t="s">
        <v>76</v>
      </c>
      <c r="C15" s="188"/>
      <c r="D15" s="65">
        <v>5.0000000000000001E-3</v>
      </c>
      <c r="E15" s="190">
        <f>C15*D15</f>
        <v>0</v>
      </c>
      <c r="F15" s="188"/>
      <c r="G15" s="188"/>
      <c r="H15" s="188"/>
      <c r="I15" s="188"/>
      <c r="J15" s="188"/>
      <c r="K15" s="188"/>
      <c r="L15" s="188"/>
      <c r="M15" s="188"/>
      <c r="N15" s="105">
        <f>SUMPRODUCT($F$6:$M$6,F15:M15)</f>
        <v>0</v>
      </c>
    </row>
    <row r="16" spans="1:14">
      <c r="A16" s="104">
        <v>2.2000000000000002</v>
      </c>
      <c r="B16" s="66" t="s">
        <v>77</v>
      </c>
      <c r="C16" s="188"/>
      <c r="D16" s="65">
        <v>0.01</v>
      </c>
      <c r="E16" s="190">
        <f>C16*D16</f>
        <v>0</v>
      </c>
      <c r="F16" s="188"/>
      <c r="G16" s="188"/>
      <c r="H16" s="188"/>
      <c r="I16" s="188"/>
      <c r="J16" s="188"/>
      <c r="K16" s="188"/>
      <c r="L16" s="188"/>
      <c r="M16" s="188"/>
      <c r="N16" s="105">
        <f t="shared" ref="N16:N20" si="3">SUMPRODUCT($F$6:$M$6,F16:M16)</f>
        <v>0</v>
      </c>
    </row>
    <row r="17" spans="1:14">
      <c r="A17" s="104">
        <v>2.2999999999999998</v>
      </c>
      <c r="B17" s="66" t="s">
        <v>78</v>
      </c>
      <c r="C17" s="188"/>
      <c r="D17" s="65">
        <v>0.02</v>
      </c>
      <c r="E17" s="190">
        <f>C17*D17</f>
        <v>0</v>
      </c>
      <c r="F17" s="188"/>
      <c r="G17" s="188"/>
      <c r="H17" s="188"/>
      <c r="I17" s="188"/>
      <c r="J17" s="188"/>
      <c r="K17" s="188"/>
      <c r="L17" s="188"/>
      <c r="M17" s="188"/>
      <c r="N17" s="105">
        <f t="shared" si="3"/>
        <v>0</v>
      </c>
    </row>
    <row r="18" spans="1:14">
      <c r="A18" s="104">
        <v>2.4</v>
      </c>
      <c r="B18" s="66" t="s">
        <v>79</v>
      </c>
      <c r="C18" s="188"/>
      <c r="D18" s="65">
        <v>0.03</v>
      </c>
      <c r="E18" s="190">
        <f>C18*D18</f>
        <v>0</v>
      </c>
      <c r="F18" s="188"/>
      <c r="G18" s="188"/>
      <c r="H18" s="188"/>
      <c r="I18" s="188"/>
      <c r="J18" s="188"/>
      <c r="K18" s="188"/>
      <c r="L18" s="188"/>
      <c r="M18" s="188"/>
      <c r="N18" s="105">
        <f t="shared" si="3"/>
        <v>0</v>
      </c>
    </row>
    <row r="19" spans="1:14">
      <c r="A19" s="104">
        <v>2.5</v>
      </c>
      <c r="B19" s="66" t="s">
        <v>80</v>
      </c>
      <c r="C19" s="188"/>
      <c r="D19" s="65">
        <v>0.04</v>
      </c>
      <c r="E19" s="190">
        <f>C19*D19</f>
        <v>0</v>
      </c>
      <c r="F19" s="188"/>
      <c r="G19" s="188"/>
      <c r="H19" s="188"/>
      <c r="I19" s="188"/>
      <c r="J19" s="188"/>
      <c r="K19" s="188"/>
      <c r="L19" s="188"/>
      <c r="M19" s="188"/>
      <c r="N19" s="105">
        <f t="shared" si="3"/>
        <v>0</v>
      </c>
    </row>
    <row r="20" spans="1:14">
      <c r="A20" s="104">
        <v>2.6</v>
      </c>
      <c r="B20" s="66" t="s">
        <v>81</v>
      </c>
      <c r="C20" s="188"/>
      <c r="D20" s="67"/>
      <c r="E20" s="191"/>
      <c r="F20" s="188"/>
      <c r="G20" s="188"/>
      <c r="H20" s="188"/>
      <c r="I20" s="188"/>
      <c r="J20" s="188"/>
      <c r="K20" s="188"/>
      <c r="L20" s="188"/>
      <c r="M20" s="188"/>
      <c r="N20" s="105">
        <f t="shared" si="3"/>
        <v>0</v>
      </c>
    </row>
    <row r="21" spans="1:14" ht="14.4" thickBot="1">
      <c r="A21" s="106">
        <v>3</v>
      </c>
      <c r="B21" s="107" t="s">
        <v>66</v>
      </c>
      <c r="C21" s="189">
        <f>C14+C7</f>
        <v>230946324.5</v>
      </c>
      <c r="D21" s="108"/>
      <c r="E21" s="192">
        <f>E14+E7</f>
        <v>4618926.49</v>
      </c>
      <c r="F21" s="193">
        <f>F7+F14</f>
        <v>0</v>
      </c>
      <c r="G21" s="193">
        <f t="shared" ref="G21:L21" si="4">G7+G14</f>
        <v>0</v>
      </c>
      <c r="H21" s="193">
        <f t="shared" si="4"/>
        <v>0</v>
      </c>
      <c r="I21" s="193">
        <f t="shared" si="4"/>
        <v>0</v>
      </c>
      <c r="J21" s="193">
        <f t="shared" si="4"/>
        <v>0</v>
      </c>
      <c r="K21" s="193">
        <f t="shared" si="4"/>
        <v>4618926.49</v>
      </c>
      <c r="L21" s="193">
        <f t="shared" si="4"/>
        <v>0</v>
      </c>
      <c r="M21" s="193">
        <f>M7+M14</f>
        <v>0</v>
      </c>
      <c r="N21" s="109">
        <f>N14+N7</f>
        <v>4618926.49</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1" workbookViewId="0">
      <selection activeCell="C8" sqref="C8"/>
    </sheetView>
  </sheetViews>
  <sheetFormatPr defaultRowHeight="14.4"/>
  <cols>
    <col min="1" max="1" width="11.44140625" customWidth="1"/>
    <col min="2" max="2" width="76.77734375" style="2" customWidth="1"/>
    <col min="3" max="3" width="22.77734375" customWidth="1"/>
  </cols>
  <sheetData>
    <row r="1" spans="1:3">
      <c r="A1" s="1" t="s">
        <v>108</v>
      </c>
      <c r="B1" t="str">
        <f>Info!C2</f>
        <v>კრედო</v>
      </c>
    </row>
    <row r="2" spans="1:3">
      <c r="A2" s="1" t="s">
        <v>109</v>
      </c>
      <c r="B2" s="346">
        <f>'1. key ratios'!B2</f>
        <v>45291</v>
      </c>
    </row>
    <row r="3" spans="1:3">
      <c r="A3" s="1"/>
      <c r="B3"/>
    </row>
    <row r="4" spans="1:3">
      <c r="A4" s="1" t="s">
        <v>428</v>
      </c>
      <c r="B4" t="s">
        <v>387</v>
      </c>
    </row>
    <row r="5" spans="1:3">
      <c r="A5" s="278"/>
      <c r="B5" s="278" t="s">
        <v>388</v>
      </c>
      <c r="C5" s="290"/>
    </row>
    <row r="6" spans="1:3">
      <c r="A6" s="279">
        <v>1</v>
      </c>
      <c r="B6" s="291" t="s">
        <v>440</v>
      </c>
      <c r="C6" s="790">
        <f>'2. SOFP'!E69</f>
        <v>2466006520.2900057</v>
      </c>
    </row>
    <row r="7" spans="1:3">
      <c r="A7" s="279">
        <v>2</v>
      </c>
      <c r="B7" s="291" t="s">
        <v>389</v>
      </c>
      <c r="C7" s="790">
        <f>'9. Capital'!C15</f>
        <v>19302841.530000001</v>
      </c>
    </row>
    <row r="8" spans="1:3">
      <c r="A8" s="280">
        <v>3</v>
      </c>
      <c r="B8" s="293" t="s">
        <v>390</v>
      </c>
      <c r="C8" s="294">
        <f>C6-C7</f>
        <v>2446703678.7600055</v>
      </c>
    </row>
    <row r="9" spans="1:3">
      <c r="A9" s="281"/>
      <c r="B9" s="281" t="s">
        <v>391</v>
      </c>
      <c r="C9" s="295"/>
    </row>
    <row r="10" spans="1:3">
      <c r="A10" s="282">
        <v>4</v>
      </c>
      <c r="B10" s="296" t="s">
        <v>392</v>
      </c>
      <c r="C10" s="292"/>
    </row>
    <row r="11" spans="1:3">
      <c r="A11" s="282">
        <v>5</v>
      </c>
      <c r="B11" s="297" t="s">
        <v>393</v>
      </c>
      <c r="C11" s="292"/>
    </row>
    <row r="12" spans="1:3">
      <c r="A12" s="282" t="s">
        <v>394</v>
      </c>
      <c r="B12" s="291" t="s">
        <v>395</v>
      </c>
      <c r="C12" s="294">
        <f>'15. CCR'!E21</f>
        <v>4618926.49</v>
      </c>
    </row>
    <row r="13" spans="1:3">
      <c r="A13" s="283">
        <v>6</v>
      </c>
      <c r="B13" s="298" t="s">
        <v>396</v>
      </c>
      <c r="C13" s="292"/>
    </row>
    <row r="14" spans="1:3">
      <c r="A14" s="283">
        <v>7</v>
      </c>
      <c r="B14" s="299" t="s">
        <v>397</v>
      </c>
      <c r="C14" s="292"/>
    </row>
    <row r="15" spans="1:3">
      <c r="A15" s="284">
        <v>8</v>
      </c>
      <c r="B15" s="291" t="s">
        <v>398</v>
      </c>
      <c r="C15" s="292"/>
    </row>
    <row r="16" spans="1:3" ht="22.8">
      <c r="A16" s="283">
        <v>9</v>
      </c>
      <c r="B16" s="299" t="s">
        <v>399</v>
      </c>
      <c r="C16" s="292"/>
    </row>
    <row r="17" spans="1:3">
      <c r="A17" s="283">
        <v>10</v>
      </c>
      <c r="B17" s="299" t="s">
        <v>400</v>
      </c>
      <c r="C17" s="292"/>
    </row>
    <row r="18" spans="1:3">
      <c r="A18" s="285">
        <v>11</v>
      </c>
      <c r="B18" s="300" t="s">
        <v>401</v>
      </c>
      <c r="C18" s="294">
        <f>SUM(C10:C17)</f>
        <v>4618926.49</v>
      </c>
    </row>
    <row r="19" spans="1:3">
      <c r="A19" s="281"/>
      <c r="B19" s="281" t="s">
        <v>402</v>
      </c>
      <c r="C19" s="301"/>
    </row>
    <row r="20" spans="1:3">
      <c r="A20" s="283">
        <v>12</v>
      </c>
      <c r="B20" s="296" t="s">
        <v>403</v>
      </c>
      <c r="C20" s="292"/>
    </row>
    <row r="21" spans="1:3">
      <c r="A21" s="283">
        <v>13</v>
      </c>
      <c r="B21" s="296" t="s">
        <v>404</v>
      </c>
      <c r="C21" s="292"/>
    </row>
    <row r="22" spans="1:3">
      <c r="A22" s="283">
        <v>14</v>
      </c>
      <c r="B22" s="296" t="s">
        <v>405</v>
      </c>
      <c r="C22" s="292"/>
    </row>
    <row r="23" spans="1:3" ht="22.8">
      <c r="A23" s="283" t="s">
        <v>406</v>
      </c>
      <c r="B23" s="296" t="s">
        <v>407</v>
      </c>
      <c r="C23" s="292"/>
    </row>
    <row r="24" spans="1:3">
      <c r="A24" s="283">
        <v>15</v>
      </c>
      <c r="B24" s="296" t="s">
        <v>408</v>
      </c>
      <c r="C24" s="292"/>
    </row>
    <row r="25" spans="1:3">
      <c r="A25" s="283" t="s">
        <v>409</v>
      </c>
      <c r="B25" s="291" t="s">
        <v>410</v>
      </c>
      <c r="C25" s="292"/>
    </row>
    <row r="26" spans="1:3">
      <c r="A26" s="285">
        <v>16</v>
      </c>
      <c r="B26" s="300" t="s">
        <v>411</v>
      </c>
      <c r="C26" s="294">
        <f>SUM(C20:C25)</f>
        <v>0</v>
      </c>
    </row>
    <row r="27" spans="1:3">
      <c r="A27" s="281"/>
      <c r="B27" s="281" t="s">
        <v>412</v>
      </c>
      <c r="C27" s="295"/>
    </row>
    <row r="28" spans="1:3">
      <c r="A28" s="282">
        <v>17</v>
      </c>
      <c r="B28" s="291" t="s">
        <v>413</v>
      </c>
      <c r="C28" s="292">
        <v>56199564</v>
      </c>
    </row>
    <row r="29" spans="1:3">
      <c r="A29" s="282">
        <v>18</v>
      </c>
      <c r="B29" s="291" t="s">
        <v>414</v>
      </c>
      <c r="C29" s="292">
        <v>-28427648</v>
      </c>
    </row>
    <row r="30" spans="1:3">
      <c r="A30" s="285">
        <v>19</v>
      </c>
      <c r="B30" s="300" t="s">
        <v>415</v>
      </c>
      <c r="C30" s="294">
        <f>C28+C29</f>
        <v>27771916</v>
      </c>
    </row>
    <row r="31" spans="1:3">
      <c r="A31" s="286"/>
      <c r="B31" s="281" t="s">
        <v>416</v>
      </c>
      <c r="C31" s="295"/>
    </row>
    <row r="32" spans="1:3">
      <c r="A32" s="282" t="s">
        <v>417</v>
      </c>
      <c r="B32" s="296" t="s">
        <v>418</v>
      </c>
      <c r="C32" s="302"/>
    </row>
    <row r="33" spans="1:3">
      <c r="A33" s="282" t="s">
        <v>419</v>
      </c>
      <c r="B33" s="297" t="s">
        <v>420</v>
      </c>
      <c r="C33" s="302"/>
    </row>
    <row r="34" spans="1:3">
      <c r="A34" s="281"/>
      <c r="B34" s="281" t="s">
        <v>421</v>
      </c>
      <c r="C34" s="295"/>
    </row>
    <row r="35" spans="1:3">
      <c r="A35" s="285">
        <v>20</v>
      </c>
      <c r="B35" s="300" t="s">
        <v>86</v>
      </c>
      <c r="C35" s="294">
        <f>'1. key ratios'!C9</f>
        <v>285729116.28999996</v>
      </c>
    </row>
    <row r="36" spans="1:3">
      <c r="A36" s="285">
        <v>21</v>
      </c>
      <c r="B36" s="300" t="s">
        <v>422</v>
      </c>
      <c r="C36" s="294">
        <f>C8+C18+C26+C30</f>
        <v>2479094521.2500052</v>
      </c>
    </row>
    <row r="37" spans="1:3">
      <c r="A37" s="287"/>
      <c r="B37" s="287" t="s">
        <v>387</v>
      </c>
      <c r="C37" s="295"/>
    </row>
    <row r="38" spans="1:3">
      <c r="A38" s="285">
        <v>22</v>
      </c>
      <c r="B38" s="300" t="s">
        <v>387</v>
      </c>
      <c r="C38" s="738">
        <f>IFERROR(C35/C36,0)</f>
        <v>0.11525543453096337</v>
      </c>
    </row>
    <row r="39" spans="1:3">
      <c r="A39" s="287"/>
      <c r="B39" s="287" t="s">
        <v>423</v>
      </c>
      <c r="C39" s="295"/>
    </row>
    <row r="40" spans="1:3">
      <c r="A40" s="288" t="s">
        <v>424</v>
      </c>
      <c r="B40" s="296" t="s">
        <v>425</v>
      </c>
      <c r="C40" s="302"/>
    </row>
    <row r="41" spans="1:3">
      <c r="A41" s="289" t="s">
        <v>426</v>
      </c>
      <c r="B41" s="297" t="s">
        <v>427</v>
      </c>
      <c r="C41" s="302"/>
    </row>
    <row r="43" spans="1:3">
      <c r="B43" s="311"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2"/>
  <sheetViews>
    <sheetView zoomScale="90" zoomScaleNormal="90" workbookViewId="0">
      <pane xSplit="2" ySplit="6" topLeftCell="C22" activePane="bottomRight" state="frozen"/>
      <selection pane="topRight" activeCell="C1" sqref="C1"/>
      <selection pane="bottomLeft" activeCell="A7" sqref="A7"/>
      <selection pane="bottomRight" activeCell="C35" sqref="C35:C36"/>
    </sheetView>
  </sheetViews>
  <sheetFormatPr defaultRowHeight="14.4"/>
  <cols>
    <col min="1" max="1" width="9.88671875" style="1" bestFit="1" customWidth="1"/>
    <col min="2" max="2" width="82.6640625" style="17" customWidth="1"/>
    <col min="3" max="7" width="17.5546875" style="1" customWidth="1"/>
    <col min="8" max="8" width="15.77734375" customWidth="1"/>
    <col min="9" max="9" width="16.109375" bestFit="1" customWidth="1"/>
    <col min="10" max="10" width="17.77734375" bestFit="1" customWidth="1"/>
    <col min="11" max="11" width="15" bestFit="1" customWidth="1"/>
  </cols>
  <sheetData>
    <row r="1" spans="1:11">
      <c r="A1" s="1" t="s">
        <v>108</v>
      </c>
      <c r="B1" s="1" t="str">
        <f>Info!C2</f>
        <v>კრედო</v>
      </c>
    </row>
    <row r="2" spans="1:11">
      <c r="A2" s="1" t="s">
        <v>109</v>
      </c>
      <c r="B2" s="346">
        <f>'1. key ratios'!B2</f>
        <v>45291</v>
      </c>
    </row>
    <row r="3" spans="1:11">
      <c r="B3" s="346"/>
    </row>
    <row r="4" spans="1:11" ht="15" thickBot="1">
      <c r="A4" s="1" t="s">
        <v>488</v>
      </c>
      <c r="B4" s="202" t="s">
        <v>453</v>
      </c>
    </row>
    <row r="5" spans="1:11">
      <c r="A5" s="350"/>
      <c r="B5" s="351"/>
      <c r="C5" s="879" t="s">
        <v>454</v>
      </c>
      <c r="D5" s="879"/>
      <c r="E5" s="879"/>
      <c r="F5" s="879"/>
      <c r="G5" s="880" t="s">
        <v>455</v>
      </c>
    </row>
    <row r="6" spans="1:11">
      <c r="A6" s="352"/>
      <c r="B6" s="353"/>
      <c r="C6" s="354" t="s">
        <v>456</v>
      </c>
      <c r="D6" s="354" t="s">
        <v>457</v>
      </c>
      <c r="E6" s="354" t="s">
        <v>458</v>
      </c>
      <c r="F6" s="354" t="s">
        <v>459</v>
      </c>
      <c r="G6" s="881"/>
    </row>
    <row r="7" spans="1:11">
      <c r="A7" s="355"/>
      <c r="B7" s="356" t="s">
        <v>460</v>
      </c>
      <c r="C7" s="357"/>
      <c r="D7" s="357"/>
      <c r="E7" s="357"/>
      <c r="F7" s="357"/>
      <c r="G7" s="358"/>
    </row>
    <row r="8" spans="1:11">
      <c r="A8" s="359">
        <v>1</v>
      </c>
      <c r="B8" s="360" t="s">
        <v>461</v>
      </c>
      <c r="C8" s="739">
        <f>SUM(C9:C10)</f>
        <v>285729117.28000557</v>
      </c>
      <c r="D8" s="361">
        <f>SUM(D9:D10)</f>
        <v>0</v>
      </c>
      <c r="E8" s="361">
        <f>SUM(E9:E10)</f>
        <v>0</v>
      </c>
      <c r="F8" s="739">
        <f>SUM(F9:F10)</f>
        <v>741716476.5</v>
      </c>
      <c r="G8" s="368">
        <f>SUM(G9:G10)</f>
        <v>1027445593.7800056</v>
      </c>
      <c r="H8" s="772"/>
    </row>
    <row r="9" spans="1:11">
      <c r="A9" s="359">
        <v>2</v>
      </c>
      <c r="B9" s="363" t="s">
        <v>85</v>
      </c>
      <c r="C9" s="361">
        <v>285729117.28000557</v>
      </c>
      <c r="D9" s="361"/>
      <c r="E9" s="361"/>
      <c r="F9" s="361">
        <v>94580722</v>
      </c>
      <c r="G9" s="362">
        <f>C9+F9</f>
        <v>380309839.28000557</v>
      </c>
      <c r="H9" s="772"/>
    </row>
    <row r="10" spans="1:11">
      <c r="A10" s="359">
        <v>3</v>
      </c>
      <c r="B10" s="363" t="s">
        <v>462</v>
      </c>
      <c r="C10" s="364"/>
      <c r="D10" s="364"/>
      <c r="E10" s="364"/>
      <c r="F10" s="361">
        <f>(592700113+53756295+1804503.5)-1125157</f>
        <v>647135754.5</v>
      </c>
      <c r="G10" s="362">
        <f>C10+F10</f>
        <v>647135754.5</v>
      </c>
      <c r="H10" s="772"/>
    </row>
    <row r="11" spans="1:11" ht="27.6">
      <c r="A11" s="359">
        <v>4</v>
      </c>
      <c r="B11" s="360" t="s">
        <v>463</v>
      </c>
      <c r="C11" s="741">
        <f t="shared" ref="C11:F11" si="0">SUM(C12:C13)</f>
        <v>242782894.82999998</v>
      </c>
      <c r="D11" s="739">
        <f t="shared" si="0"/>
        <v>226163848.56809705</v>
      </c>
      <c r="E11" s="739">
        <f t="shared" si="0"/>
        <v>104157305.01561891</v>
      </c>
      <c r="F11" s="739">
        <f t="shared" si="0"/>
        <v>33767211.25849317</v>
      </c>
      <c r="G11" s="368">
        <f>SUM(G12:G13)</f>
        <v>469930444.90360779</v>
      </c>
      <c r="H11" s="772"/>
    </row>
    <row r="12" spans="1:11">
      <c r="A12" s="359">
        <v>5</v>
      </c>
      <c r="B12" s="363" t="s">
        <v>464</v>
      </c>
      <c r="C12" s="779">
        <f>100800851.83+87015</f>
        <v>100887866.83</v>
      </c>
      <c r="D12" s="782">
        <v>153360755.88847613</v>
      </c>
      <c r="E12" s="779">
        <v>86556209.864971697</v>
      </c>
      <c r="F12" s="779">
        <v>29183645.344337165</v>
      </c>
      <c r="G12" s="362">
        <f>SUM(C12:F12)*0.95</f>
        <v>351489054.03139573</v>
      </c>
      <c r="H12" s="772"/>
      <c r="I12" s="778"/>
      <c r="J12" s="772"/>
      <c r="K12" s="772"/>
    </row>
    <row r="13" spans="1:11">
      <c r="A13" s="359">
        <v>6</v>
      </c>
      <c r="B13" s="363" t="s">
        <v>465</v>
      </c>
      <c r="C13" s="779">
        <v>141895028</v>
      </c>
      <c r="D13" s="782">
        <v>72803092.679620907</v>
      </c>
      <c r="E13" s="779">
        <v>17601095.150647208</v>
      </c>
      <c r="F13" s="779">
        <v>4583565.9141560029</v>
      </c>
      <c r="G13" s="362">
        <f>SUM(C13:F13)*0.5</f>
        <v>118441390.87221207</v>
      </c>
      <c r="H13" s="777"/>
      <c r="I13" s="772"/>
    </row>
    <row r="14" spans="1:11">
      <c r="A14" s="359">
        <v>7</v>
      </c>
      <c r="B14" s="360" t="s">
        <v>466</v>
      </c>
      <c r="C14" s="741">
        <f t="shared" ref="C14:F14" si="1">SUM(C15:C16)</f>
        <v>83157993</v>
      </c>
      <c r="D14" s="739">
        <f t="shared" si="1"/>
        <v>200310216.67869589</v>
      </c>
      <c r="E14" s="739">
        <f t="shared" si="1"/>
        <v>237720975.67056197</v>
      </c>
      <c r="F14" s="739">
        <f t="shared" si="1"/>
        <v>7397055.6421200009</v>
      </c>
      <c r="G14" s="368">
        <f>SUM(G15:G16)</f>
        <v>239266250.63068894</v>
      </c>
    </row>
    <row r="15" spans="1:11" ht="55.2">
      <c r="A15" s="359">
        <v>8</v>
      </c>
      <c r="B15" s="363" t="s">
        <v>467</v>
      </c>
      <c r="C15" s="779">
        <v>83157993</v>
      </c>
      <c r="D15" s="780">
        <v>150256476.9486959</v>
      </c>
      <c r="E15" s="780">
        <v>91097862.769099236</v>
      </c>
      <c r="F15" s="779">
        <v>7397055.6421200009</v>
      </c>
      <c r="G15" s="362">
        <f>SUM(C15:F15)*0.5</f>
        <v>165954694.17995757</v>
      </c>
      <c r="H15" s="706"/>
      <c r="I15" s="803"/>
      <c r="J15" s="706"/>
    </row>
    <row r="16" spans="1:11" ht="27.6">
      <c r="A16" s="359">
        <v>9</v>
      </c>
      <c r="B16" s="363" t="s">
        <v>468</v>
      </c>
      <c r="C16" s="779"/>
      <c r="D16" s="781">
        <v>50053739.729999997</v>
      </c>
      <c r="E16" s="779">
        <v>146623112.90146273</v>
      </c>
      <c r="F16" s="779"/>
      <c r="G16" s="362">
        <f>E16*0.5</f>
        <v>73311556.450731367</v>
      </c>
      <c r="H16" s="706"/>
      <c r="I16" s="706"/>
      <c r="J16" s="707"/>
      <c r="K16" s="707"/>
    </row>
    <row r="17" spans="1:10">
      <c r="A17" s="359">
        <v>10</v>
      </c>
      <c r="B17" s="360" t="s">
        <v>469</v>
      </c>
      <c r="C17" s="361"/>
      <c r="D17" s="365"/>
      <c r="E17" s="361"/>
      <c r="F17" s="361"/>
      <c r="G17" s="362"/>
      <c r="I17" s="707"/>
    </row>
    <row r="18" spans="1:10">
      <c r="A18" s="359">
        <v>11</v>
      </c>
      <c r="B18" s="360" t="s">
        <v>89</v>
      </c>
      <c r="C18" s="739">
        <f>SUM(C19:C20)</f>
        <v>54489508.981564283</v>
      </c>
      <c r="D18" s="740">
        <f t="shared" ref="D18:G18" si="2">SUM(D19:D20)</f>
        <v>177322682.81595075</v>
      </c>
      <c r="E18" s="739">
        <f t="shared" si="2"/>
        <v>4789975.3655689918</v>
      </c>
      <c r="F18" s="739">
        <f t="shared" si="2"/>
        <v>47198417.193449497</v>
      </c>
      <c r="G18" s="362">
        <f t="shared" si="2"/>
        <v>0</v>
      </c>
      <c r="H18" s="690"/>
      <c r="I18" s="690"/>
      <c r="J18" s="690"/>
    </row>
    <row r="19" spans="1:10">
      <c r="A19" s="359">
        <v>12</v>
      </c>
      <c r="B19" s="363" t="s">
        <v>470</v>
      </c>
      <c r="C19" s="364"/>
      <c r="D19" s="365"/>
      <c r="E19" s="361"/>
      <c r="F19" s="361"/>
      <c r="G19" s="362"/>
      <c r="I19" s="707"/>
    </row>
    <row r="20" spans="1:10" ht="27.6">
      <c r="A20" s="359">
        <v>13</v>
      </c>
      <c r="B20" s="363" t="s">
        <v>471</v>
      </c>
      <c r="C20" s="779">
        <v>54489508.981564283</v>
      </c>
      <c r="D20" s="779">
        <v>177322682.81595075</v>
      </c>
      <c r="E20" s="779">
        <v>4789975.3655689918</v>
      </c>
      <c r="F20" s="779">
        <v>47198417.193449497</v>
      </c>
      <c r="G20" s="362"/>
      <c r="H20" s="764"/>
      <c r="I20" s="707"/>
    </row>
    <row r="21" spans="1:10">
      <c r="A21" s="366">
        <v>14</v>
      </c>
      <c r="B21" s="367" t="s">
        <v>472</v>
      </c>
      <c r="C21" s="364"/>
      <c r="D21" s="364"/>
      <c r="E21" s="364"/>
      <c r="F21" s="364"/>
      <c r="G21" s="368">
        <f>SUM(G8,G11,G14,G17,G18)</f>
        <v>1736642289.3143022</v>
      </c>
    </row>
    <row r="22" spans="1:10">
      <c r="A22" s="369"/>
      <c r="B22" s="387" t="s">
        <v>473</v>
      </c>
      <c r="C22" s="370"/>
      <c r="D22" s="371"/>
      <c r="E22" s="370"/>
      <c r="F22" s="370"/>
      <c r="G22" s="372"/>
    </row>
    <row r="23" spans="1:10">
      <c r="A23" s="359">
        <v>15</v>
      </c>
      <c r="B23" s="360" t="s">
        <v>322</v>
      </c>
      <c r="C23" s="741">
        <v>185506735.69</v>
      </c>
      <c r="D23" s="742">
        <v>110902761</v>
      </c>
      <c r="E23" s="741"/>
      <c r="F23" s="741">
        <v>18758019.800000001</v>
      </c>
      <c r="G23" s="368">
        <v>3835258.2246749997</v>
      </c>
    </row>
    <row r="24" spans="1:10">
      <c r="A24" s="359">
        <v>16</v>
      </c>
      <c r="B24" s="360" t="s">
        <v>474</v>
      </c>
      <c r="C24" s="739">
        <f>SUM(C25:C27,C29,C31)</f>
        <v>52285050</v>
      </c>
      <c r="D24" s="740">
        <f t="shared" ref="D24:G24" si="3">SUM(D25:D27,D29,D31)</f>
        <v>571216858.10443592</v>
      </c>
      <c r="E24" s="739">
        <f t="shared" si="3"/>
        <v>368534976.56276798</v>
      </c>
      <c r="F24" s="739">
        <f t="shared" si="3"/>
        <v>979779148.73279607</v>
      </c>
      <c r="G24" s="368">
        <f t="shared" si="3"/>
        <v>1281698778.9199998</v>
      </c>
    </row>
    <row r="25" spans="1:10" ht="27.6">
      <c r="A25" s="359">
        <v>17</v>
      </c>
      <c r="B25" s="363" t="s">
        <v>475</v>
      </c>
      <c r="C25" s="361"/>
      <c r="D25" s="365"/>
      <c r="E25" s="361"/>
      <c r="F25" s="361"/>
      <c r="G25" s="362"/>
      <c r="I25" s="690"/>
    </row>
    <row r="26" spans="1:10" ht="27.6">
      <c r="A26" s="359">
        <v>18</v>
      </c>
      <c r="B26" s="363" t="s">
        <v>476</v>
      </c>
      <c r="C26" s="361">
        <v>52285050</v>
      </c>
      <c r="D26" s="365"/>
      <c r="E26" s="361"/>
      <c r="F26" s="361"/>
      <c r="G26" s="362">
        <f>C26*0.15</f>
        <v>7842757.5</v>
      </c>
      <c r="I26" s="690"/>
      <c r="J26" s="707"/>
    </row>
    <row r="27" spans="1:10">
      <c r="A27" s="359">
        <v>19</v>
      </c>
      <c r="B27" s="363" t="s">
        <v>477</v>
      </c>
      <c r="C27" s="361"/>
      <c r="D27" s="365">
        <v>567531233.09276712</v>
      </c>
      <c r="E27" s="361">
        <v>345205504.09276795</v>
      </c>
      <c r="F27" s="361">
        <v>904374493.01446486</v>
      </c>
      <c r="G27" s="783">
        <v>1207085729</v>
      </c>
      <c r="H27" s="793"/>
      <c r="I27" s="778"/>
      <c r="J27" s="778"/>
    </row>
    <row r="28" spans="1:10">
      <c r="A28" s="359">
        <v>20</v>
      </c>
      <c r="B28" s="373" t="s">
        <v>478</v>
      </c>
      <c r="C28" s="361"/>
      <c r="D28" s="365"/>
      <c r="E28" s="361"/>
      <c r="F28" s="361"/>
      <c r="G28" s="362"/>
    </row>
    <row r="29" spans="1:10">
      <c r="A29" s="359">
        <v>21</v>
      </c>
      <c r="B29" s="363" t="s">
        <v>479</v>
      </c>
      <c r="C29" s="361"/>
      <c r="D29" s="365">
        <v>3685625.011668805</v>
      </c>
      <c r="E29" s="361">
        <v>23329472.470000003</v>
      </c>
      <c r="F29" s="361">
        <v>74417391.5183312</v>
      </c>
      <c r="G29" s="362">
        <f>SUM(D29:F29)*0.65</f>
        <v>65931117.850000001</v>
      </c>
      <c r="H29" s="777"/>
      <c r="J29" s="706"/>
    </row>
    <row r="30" spans="1:10">
      <c r="A30" s="359">
        <v>22</v>
      </c>
      <c r="B30" s="373" t="s">
        <v>478</v>
      </c>
      <c r="C30" s="361"/>
      <c r="D30" s="365">
        <v>3685625.011668805</v>
      </c>
      <c r="E30" s="361">
        <v>23329472.470000003</v>
      </c>
      <c r="F30" s="361">
        <v>74417391.5183312</v>
      </c>
      <c r="G30" s="362">
        <f>SUM(D30:F30)*0.65</f>
        <v>65931117.850000001</v>
      </c>
      <c r="H30" s="764"/>
      <c r="I30" s="764"/>
      <c r="J30" s="764"/>
    </row>
    <row r="31" spans="1:10" ht="27.6">
      <c r="A31" s="359">
        <v>23</v>
      </c>
      <c r="B31" s="363" t="s">
        <v>480</v>
      </c>
      <c r="C31" s="361"/>
      <c r="D31" s="365"/>
      <c r="E31" s="361"/>
      <c r="F31" s="361">
        <v>987264.20000000007</v>
      </c>
      <c r="G31" s="362">
        <f>F31*0.85</f>
        <v>839174.57000000007</v>
      </c>
      <c r="H31" s="764"/>
    </row>
    <row r="32" spans="1:10">
      <c r="A32" s="359">
        <v>24</v>
      </c>
      <c r="B32" s="360" t="s">
        <v>481</v>
      </c>
      <c r="C32" s="361"/>
      <c r="D32" s="365"/>
      <c r="E32" s="361"/>
      <c r="F32" s="361"/>
      <c r="G32" s="362"/>
      <c r="H32" s="764"/>
    </row>
    <row r="33" spans="1:10">
      <c r="A33" s="359">
        <v>25</v>
      </c>
      <c r="B33" s="360" t="s">
        <v>99</v>
      </c>
      <c r="C33" s="739">
        <f>SUM(C34:C35)</f>
        <v>89839464.460000038</v>
      </c>
      <c r="D33" s="739">
        <f>SUM(D34:D35)</f>
        <v>23305113.695564069</v>
      </c>
      <c r="E33" s="739">
        <f>SUM(E34:E35)</f>
        <v>5188246.6762325764</v>
      </c>
      <c r="F33" s="739">
        <f>SUM(F34:F35)</f>
        <v>43208471.897203952</v>
      </c>
      <c r="G33" s="368">
        <f>SUM(G34:G35)</f>
        <v>161541296.72900063</v>
      </c>
    </row>
    <row r="34" spans="1:10">
      <c r="A34" s="359">
        <v>26</v>
      </c>
      <c r="B34" s="363" t="s">
        <v>482</v>
      </c>
      <c r="C34" s="364"/>
      <c r="D34" s="365">
        <v>1821169.01</v>
      </c>
      <c r="E34" s="361"/>
      <c r="F34" s="361"/>
      <c r="G34" s="362">
        <f>D34</f>
        <v>1821169.01</v>
      </c>
      <c r="H34" s="764"/>
      <c r="I34" s="690"/>
      <c r="J34" s="764"/>
    </row>
    <row r="35" spans="1:10">
      <c r="A35" s="359">
        <v>27</v>
      </c>
      <c r="B35" s="363" t="s">
        <v>483</v>
      </c>
      <c r="C35" s="779">
        <v>89839464.460000038</v>
      </c>
      <c r="D35" s="782">
        <v>21483944.685564067</v>
      </c>
      <c r="E35" s="779">
        <v>5188246.6762325764</v>
      </c>
      <c r="F35" s="779">
        <v>43208471.897203952</v>
      </c>
      <c r="G35" s="362">
        <f>SUM(C35:F35)</f>
        <v>159720127.71900064</v>
      </c>
      <c r="I35" s="778"/>
    </row>
    <row r="36" spans="1:10">
      <c r="A36" s="359">
        <v>28</v>
      </c>
      <c r="B36" s="360" t="s">
        <v>484</v>
      </c>
      <c r="C36" s="361">
        <v>29827000</v>
      </c>
      <c r="D36" s="365"/>
      <c r="E36" s="361"/>
      <c r="F36" s="361">
        <v>25943564</v>
      </c>
      <c r="G36" s="362">
        <f>SUM(C36:F36)*0.05</f>
        <v>2788528.2</v>
      </c>
      <c r="H36" s="690"/>
      <c r="I36" s="707"/>
      <c r="J36" s="707"/>
    </row>
    <row r="37" spans="1:10">
      <c r="A37" s="366">
        <v>29</v>
      </c>
      <c r="B37" s="367" t="s">
        <v>485</v>
      </c>
      <c r="C37" s="364"/>
      <c r="D37" s="364"/>
      <c r="E37" s="364"/>
      <c r="F37" s="364"/>
      <c r="G37" s="368">
        <f>SUM(G23:G24,G32:G33,G36)</f>
        <v>1449863862.0736754</v>
      </c>
      <c r="I37" s="707"/>
    </row>
    <row r="38" spans="1:10">
      <c r="A38" s="355"/>
      <c r="B38" s="374"/>
      <c r="C38" s="375"/>
      <c r="D38" s="375"/>
      <c r="E38" s="375"/>
      <c r="F38" s="375"/>
      <c r="G38" s="376"/>
    </row>
    <row r="39" spans="1:10" ht="15" thickBot="1">
      <c r="A39" s="377">
        <v>30</v>
      </c>
      <c r="B39" s="378" t="s">
        <v>453</v>
      </c>
      <c r="C39" s="239"/>
      <c r="D39" s="222"/>
      <c r="E39" s="222"/>
      <c r="F39" s="379"/>
      <c r="G39" s="380">
        <f>IFERROR(G21/G37,0)</f>
        <v>1.1977967964733327</v>
      </c>
    </row>
    <row r="42" spans="1:10" ht="41.4">
      <c r="B42" s="17" t="s">
        <v>486</v>
      </c>
    </row>
  </sheetData>
  <mergeCells count="2">
    <mergeCell ref="C5:F5"/>
    <mergeCell ref="G5:G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26" activePane="bottomRight" state="frozen"/>
      <selection pane="topRight" activeCell="B1" sqref="B1"/>
      <selection pane="bottomLeft" activeCell="A6" sqref="A6"/>
      <selection pane="bottomRight" activeCell="J46" sqref="J46:L48"/>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33203125" bestFit="1" customWidth="1"/>
    <col min="13" max="13" width="6.77734375" customWidth="1"/>
    <col min="14" max="14" width="12.21875" customWidth="1"/>
    <col min="16" max="16" width="11" bestFit="1" customWidth="1"/>
  </cols>
  <sheetData>
    <row r="1" spans="1:12">
      <c r="A1" s="13" t="s">
        <v>108</v>
      </c>
      <c r="B1" s="310" t="str">
        <f>Info!C2</f>
        <v>კრედო</v>
      </c>
    </row>
    <row r="2" spans="1:12">
      <c r="A2" s="13" t="s">
        <v>109</v>
      </c>
      <c r="B2" s="346">
        <v>45291</v>
      </c>
    </row>
    <row r="3" spans="1:12" ht="15" thickBot="1">
      <c r="A3" s="13"/>
    </row>
    <row r="4" spans="1:12" ht="15" thickBot="1">
      <c r="A4" s="33" t="s">
        <v>252</v>
      </c>
      <c r="B4" s="141" t="s">
        <v>139</v>
      </c>
      <c r="C4" s="142"/>
      <c r="D4" s="819" t="s">
        <v>946</v>
      </c>
      <c r="E4" s="820"/>
      <c r="F4" s="820"/>
      <c r="G4" s="821"/>
      <c r="I4" s="822" t="s">
        <v>947</v>
      </c>
      <c r="J4" s="823"/>
      <c r="K4" s="823"/>
      <c r="L4" s="824"/>
    </row>
    <row r="5" spans="1:12">
      <c r="A5" s="207" t="s">
        <v>25</v>
      </c>
      <c r="B5" s="208"/>
      <c r="C5" s="331" t="str">
        <f>INT((MONTH($B$2))/3)&amp;"Q"&amp;"-"&amp;YEAR($B$2)</f>
        <v>4Q-2023</v>
      </c>
      <c r="D5" s="331" t="str">
        <f>IF(INT(MONTH($B$2))=3, "4"&amp;"Q"&amp;"-"&amp;YEAR($B$2)-1, IF(INT(MONTH($B$2))=6, "1"&amp;"Q"&amp;"-"&amp;YEAR($B$2), IF(INT(MONTH($B$2))=9, "2"&amp;"Q"&amp;"-"&amp;YEAR($B$2),IF(INT(MONTH($B$2))=12, "3"&amp;"Q"&amp;"-"&amp;YEAR($B$2), 0))))</f>
        <v>3Q-2023</v>
      </c>
      <c r="E5" s="331" t="str">
        <f>IF(INT(MONTH($B$2))=3, "3"&amp;"Q"&amp;"-"&amp;YEAR($B$2)-1, IF(INT(MONTH($B$2))=6, "4"&amp;"Q"&amp;"-"&amp;YEAR($B$2)-1, IF(INT(MONTH($B$2))=9, "1"&amp;"Q"&amp;"-"&amp;YEAR($B$2),IF(INT(MONTH($B$2))=12, "2"&amp;"Q"&amp;"-"&amp;YEAR($B$2), 0))))</f>
        <v>2Q-2023</v>
      </c>
      <c r="F5" s="331" t="str">
        <f>IF(INT(MONTH($B$2))=3, "2"&amp;"Q"&amp;"-"&amp;YEAR($B$2)-1, IF(INT(MONTH($B$2))=6, "3"&amp;"Q"&amp;"-"&amp;YEAR($B$2)-1, IF(INT(MONTH($B$2))=9, "4"&amp;"Q"&amp;"-"&amp;YEAR($B$2)-1,IF(INT(MONTH($B$2))=12, "1"&amp;"Q"&amp;"-"&amp;YEAR($B$2), 0))))</f>
        <v>1Q-2023</v>
      </c>
      <c r="G5" s="332" t="str">
        <f>IF(INT(MONTH($B$2))=3, "1"&amp;"Q"&amp;"-"&amp;YEAR($B$2)-1, IF(INT(MONTH($B$2))=6, "2"&amp;"Q"&amp;"-"&amp;YEAR($B$2)-1, IF(INT(MONTH($B$2))=9, "3"&amp;"Q"&amp;"-"&amp;YEAR($B$2)-1,IF(INT(MONTH($B$2))=12, "4"&amp;"Q"&amp;"-"&amp;YEAR($B$2)-1, 0))))</f>
        <v>4Q-2022</v>
      </c>
      <c r="I5" s="629" t="str">
        <f>D5</f>
        <v>3Q-2023</v>
      </c>
      <c r="J5" s="331" t="str">
        <f t="shared" ref="J5:L5" si="0">E5</f>
        <v>2Q-2023</v>
      </c>
      <c r="K5" s="331" t="str">
        <f t="shared" si="0"/>
        <v>1Q-2023</v>
      </c>
      <c r="L5" s="332" t="str">
        <f t="shared" si="0"/>
        <v>4Q-2022</v>
      </c>
    </row>
    <row r="6" spans="1:12">
      <c r="A6" s="333"/>
      <c r="B6" s="334" t="s">
        <v>106</v>
      </c>
      <c r="C6" s="209"/>
      <c r="D6" s="209"/>
      <c r="E6" s="209"/>
      <c r="F6" s="209"/>
      <c r="G6" s="210"/>
      <c r="I6" s="630"/>
      <c r="J6" s="209"/>
      <c r="K6" s="209"/>
      <c r="L6" s="210"/>
    </row>
    <row r="7" spans="1:12">
      <c r="A7" s="333"/>
      <c r="B7" s="335" t="s">
        <v>110</v>
      </c>
      <c r="C7" s="209"/>
      <c r="D7" s="209"/>
      <c r="E7" s="209"/>
      <c r="F7" s="209"/>
      <c r="G7" s="210"/>
      <c r="I7" s="630"/>
      <c r="J7" s="209"/>
      <c r="K7" s="209"/>
      <c r="L7" s="210"/>
    </row>
    <row r="8" spans="1:12">
      <c r="A8" s="314">
        <v>1</v>
      </c>
      <c r="B8" s="315" t="s">
        <v>22</v>
      </c>
      <c r="C8" s="336">
        <v>285729116.28999996</v>
      </c>
      <c r="D8" s="337">
        <v>273581181.16999578</v>
      </c>
      <c r="E8" s="337">
        <v>260667992.61999992</v>
      </c>
      <c r="F8" s="337">
        <v>249275771.72</v>
      </c>
      <c r="G8" s="338">
        <v>245581009.12999979</v>
      </c>
      <c r="I8" s="641"/>
      <c r="J8" s="642">
        <v>238102682.34000072</v>
      </c>
      <c r="K8" s="642">
        <v>227329233.36999953</v>
      </c>
      <c r="L8" s="643">
        <v>214666012.52000001</v>
      </c>
    </row>
    <row r="9" spans="1:12">
      <c r="A9" s="314">
        <v>2</v>
      </c>
      <c r="B9" s="315" t="s">
        <v>86</v>
      </c>
      <c r="C9" s="336">
        <v>285729116.28999996</v>
      </c>
      <c r="D9" s="337">
        <v>273581181.16999578</v>
      </c>
      <c r="E9" s="337">
        <v>260667992.61999992</v>
      </c>
      <c r="F9" s="337">
        <v>249275771.72</v>
      </c>
      <c r="G9" s="338">
        <v>245581009.12999979</v>
      </c>
      <c r="I9" s="641"/>
      <c r="J9" s="642">
        <v>238102682.34000072</v>
      </c>
      <c r="K9" s="642">
        <v>227329233.36999953</v>
      </c>
      <c r="L9" s="643">
        <v>214666012.51999971</v>
      </c>
    </row>
    <row r="10" spans="1:12">
      <c r="A10" s="314">
        <v>3</v>
      </c>
      <c r="B10" s="315" t="s">
        <v>85</v>
      </c>
      <c r="C10" s="336">
        <v>380309838.28999996</v>
      </c>
      <c r="D10" s="337">
        <v>348715297.16999578</v>
      </c>
      <c r="E10" s="337">
        <v>339370410.61999989</v>
      </c>
      <c r="F10" s="337">
        <v>326164029.72000003</v>
      </c>
      <c r="G10" s="338">
        <v>312962049.12999976</v>
      </c>
      <c r="I10" s="641"/>
      <c r="J10" s="642">
        <v>337198825.76114929</v>
      </c>
      <c r="K10" s="642">
        <v>323841615.06906784</v>
      </c>
      <c r="L10" s="643">
        <v>302188638.76197034</v>
      </c>
    </row>
    <row r="11" spans="1:12">
      <c r="A11" s="314">
        <v>4</v>
      </c>
      <c r="B11" s="315" t="s">
        <v>445</v>
      </c>
      <c r="C11" s="336">
        <v>229889793.23345381</v>
      </c>
      <c r="D11" s="337">
        <v>211366153.40843534</v>
      </c>
      <c r="E11" s="337">
        <v>206145177.04826996</v>
      </c>
      <c r="F11" s="337">
        <v>197630429.46356279</v>
      </c>
      <c r="G11" s="338">
        <v>197699126.41092411</v>
      </c>
      <c r="I11" s="641"/>
      <c r="J11" s="642">
        <v>176489743.36682165</v>
      </c>
      <c r="K11" s="642">
        <v>172140990.82947937</v>
      </c>
      <c r="L11" s="643">
        <v>168546471.01320142</v>
      </c>
    </row>
    <row r="12" spans="1:12">
      <c r="A12" s="314">
        <v>5</v>
      </c>
      <c r="B12" s="315" t="s">
        <v>446</v>
      </c>
      <c r="C12" s="336">
        <v>274932529.30898803</v>
      </c>
      <c r="D12" s="337">
        <v>253060191.63724506</v>
      </c>
      <c r="E12" s="337">
        <v>246974104.80373019</v>
      </c>
      <c r="F12" s="337">
        <v>237258757.57883739</v>
      </c>
      <c r="G12" s="338">
        <v>235965932.35859731</v>
      </c>
      <c r="I12" s="641"/>
      <c r="J12" s="642">
        <v>218714358.1203261</v>
      </c>
      <c r="K12" s="642">
        <v>213319510.62380606</v>
      </c>
      <c r="L12" s="643">
        <v>208103387.59380776</v>
      </c>
    </row>
    <row r="13" spans="1:12">
      <c r="A13" s="314">
        <v>6</v>
      </c>
      <c r="B13" s="315" t="s">
        <v>447</v>
      </c>
      <c r="C13" s="336">
        <v>334765746.72011328</v>
      </c>
      <c r="D13" s="337">
        <v>308445062.24420512</v>
      </c>
      <c r="E13" s="337">
        <v>301209566.78413063</v>
      </c>
      <c r="F13" s="337">
        <v>289894568.45340198</v>
      </c>
      <c r="G13" s="338">
        <v>297781619.25709003</v>
      </c>
      <c r="I13" s="641"/>
      <c r="J13" s="642">
        <v>274804064.26633006</v>
      </c>
      <c r="K13" s="642">
        <v>268019862.51069021</v>
      </c>
      <c r="L13" s="643">
        <v>272011178.0017516</v>
      </c>
    </row>
    <row r="14" spans="1:12">
      <c r="A14" s="333"/>
      <c r="B14" s="334" t="s">
        <v>449</v>
      </c>
      <c r="C14" s="209"/>
      <c r="D14" s="209"/>
      <c r="E14" s="209"/>
      <c r="F14" s="209"/>
      <c r="G14" s="210"/>
      <c r="I14" s="630"/>
      <c r="J14" s="209"/>
      <c r="K14" s="209"/>
      <c r="L14" s="210"/>
    </row>
    <row r="15" spans="1:12" ht="22.05" customHeight="1">
      <c r="A15" s="314">
        <v>7</v>
      </c>
      <c r="B15" s="315" t="s">
        <v>448</v>
      </c>
      <c r="C15" s="339">
        <v>2152545784.6044016</v>
      </c>
      <c r="D15" s="337">
        <v>1992317162.3594787</v>
      </c>
      <c r="E15" s="337">
        <v>1950116748.2201159</v>
      </c>
      <c r="F15" s="337">
        <v>1893374491.8908103</v>
      </c>
      <c r="G15" s="338">
        <v>1931098425.3504341</v>
      </c>
      <c r="I15" s="631"/>
      <c r="J15" s="632">
        <v>2017809587.2925699</v>
      </c>
      <c r="K15" s="632">
        <v>1968738198.5261486</v>
      </c>
      <c r="L15" s="633">
        <v>1997562971.9483364</v>
      </c>
    </row>
    <row r="16" spans="1:12">
      <c r="A16" s="333"/>
      <c r="B16" s="334" t="s">
        <v>452</v>
      </c>
      <c r="C16" s="209"/>
      <c r="D16" s="209"/>
      <c r="E16" s="209"/>
      <c r="F16" s="209"/>
      <c r="G16" s="210"/>
      <c r="I16" s="630"/>
      <c r="J16" s="209"/>
      <c r="K16" s="209"/>
      <c r="L16" s="210"/>
    </row>
    <row r="17" spans="1:12">
      <c r="A17" s="314"/>
      <c r="B17" s="335" t="s">
        <v>435</v>
      </c>
      <c r="C17" s="209"/>
      <c r="D17" s="209"/>
      <c r="E17" s="209"/>
      <c r="F17" s="209"/>
      <c r="G17" s="210"/>
      <c r="I17" s="630"/>
      <c r="J17" s="209"/>
      <c r="K17" s="209"/>
      <c r="L17" s="210"/>
    </row>
    <row r="18" spans="1:12">
      <c r="A18" s="314">
        <v>8</v>
      </c>
      <c r="B18" s="315" t="s">
        <v>443</v>
      </c>
      <c r="C18" s="761">
        <f>C8/$C$15</f>
        <v>0.13274008772942858</v>
      </c>
      <c r="D18" s="348">
        <v>0.13731808686825581</v>
      </c>
      <c r="E18" s="348">
        <v>0.13366789083674774</v>
      </c>
      <c r="F18" s="348">
        <v>0.13165687653849284</v>
      </c>
      <c r="G18" s="349">
        <v>0.12717166867630506</v>
      </c>
      <c r="I18" s="634"/>
      <c r="J18" s="635">
        <v>0.11800057044008747</v>
      </c>
      <c r="K18" s="635">
        <v>0.11546950912019914</v>
      </c>
      <c r="L18" s="636">
        <v>0.10746395259350637</v>
      </c>
    </row>
    <row r="19" spans="1:12" ht="15" customHeight="1">
      <c r="A19" s="314">
        <v>9</v>
      </c>
      <c r="B19" s="315" t="s">
        <v>442</v>
      </c>
      <c r="C19" s="761">
        <f t="shared" ref="C19:C20" si="1">C9/$C$15</f>
        <v>0.13274008772942858</v>
      </c>
      <c r="D19" s="348">
        <v>0.13731808686825581</v>
      </c>
      <c r="E19" s="348">
        <v>0.13366789083674774</v>
      </c>
      <c r="F19" s="348">
        <v>0.13165687653849284</v>
      </c>
      <c r="G19" s="349">
        <v>0.12717166867630506</v>
      </c>
      <c r="I19" s="634"/>
      <c r="J19" s="635">
        <v>0.11800057044008747</v>
      </c>
      <c r="K19" s="635">
        <v>0.11546950912019914</v>
      </c>
      <c r="L19" s="636">
        <v>0.10746395259350637</v>
      </c>
    </row>
    <row r="20" spans="1:12">
      <c r="A20" s="314">
        <v>10</v>
      </c>
      <c r="B20" s="315" t="s">
        <v>444</v>
      </c>
      <c r="C20" s="761">
        <f t="shared" si="1"/>
        <v>0.176679093662063</v>
      </c>
      <c r="D20" s="348">
        <v>0.17503001216784991</v>
      </c>
      <c r="E20" s="348">
        <v>0.17402568893874967</v>
      </c>
      <c r="F20" s="348">
        <v>0.17226598917273769</v>
      </c>
      <c r="G20" s="349">
        <v>0.1620642661304055</v>
      </c>
      <c r="I20" s="634"/>
      <c r="J20" s="635">
        <v>0.16711132105066043</v>
      </c>
      <c r="K20" s="635">
        <v>0.16449196511324082</v>
      </c>
      <c r="L20" s="636">
        <v>0.15127865454335521</v>
      </c>
    </row>
    <row r="21" spans="1:12">
      <c r="A21" s="314">
        <v>11</v>
      </c>
      <c r="B21" s="315" t="s">
        <v>445</v>
      </c>
      <c r="C21" s="347">
        <v>0.10679902600803604</v>
      </c>
      <c r="D21" s="348">
        <v>0.10609061518793181</v>
      </c>
      <c r="E21" s="348">
        <v>0.10570914650952051</v>
      </c>
      <c r="F21" s="348">
        <v>0.10438</v>
      </c>
      <c r="G21" s="349">
        <v>0.10237651474188732</v>
      </c>
      <c r="I21" s="634"/>
      <c r="J21" s="635">
        <v>8.7466004958193178E-2</v>
      </c>
      <c r="K21" s="635">
        <v>8.7437217888264085E-2</v>
      </c>
      <c r="L21" s="636">
        <v>8.4376048905636492E-2</v>
      </c>
    </row>
    <row r="22" spans="1:12">
      <c r="A22" s="314">
        <v>12</v>
      </c>
      <c r="B22" s="315" t="s">
        <v>446</v>
      </c>
      <c r="C22" s="347">
        <v>0.12772435842033231</v>
      </c>
      <c r="D22" s="348">
        <v>0.12701802524878519</v>
      </c>
      <c r="E22" s="348">
        <v>0.12664580468279402</v>
      </c>
      <c r="F22" s="348">
        <v>0.12530999999999998</v>
      </c>
      <c r="G22" s="349">
        <v>0.12219259736373969</v>
      </c>
      <c r="I22" s="634"/>
      <c r="J22" s="635">
        <v>0.10839197092615155</v>
      </c>
      <c r="K22" s="635">
        <v>0.10835341681463939</v>
      </c>
      <c r="L22" s="636">
        <v>0.1041786369271917</v>
      </c>
    </row>
    <row r="23" spans="1:12">
      <c r="A23" s="314">
        <v>13</v>
      </c>
      <c r="B23" s="315" t="s">
        <v>447</v>
      </c>
      <c r="C23" s="347">
        <v>0.15552084843651168</v>
      </c>
      <c r="D23" s="348">
        <v>0.15481724901306598</v>
      </c>
      <c r="E23" s="348">
        <v>0.15445719701604868</v>
      </c>
      <c r="F23" s="348">
        <v>0.15311000000000002</v>
      </c>
      <c r="G23" s="349">
        <v>0.15420323239249287</v>
      </c>
      <c r="I23" s="634"/>
      <c r="J23" s="635">
        <v>0.13618929456820209</v>
      </c>
      <c r="K23" s="635">
        <v>0.13613788908618588</v>
      </c>
      <c r="L23" s="636">
        <v>0.13617151590292229</v>
      </c>
    </row>
    <row r="24" spans="1:12">
      <c r="A24" s="333"/>
      <c r="B24" s="334" t="s">
        <v>6</v>
      </c>
      <c r="C24" s="209"/>
      <c r="D24" s="209"/>
      <c r="E24" s="209"/>
      <c r="F24" s="209"/>
      <c r="G24" s="210"/>
      <c r="I24" s="630"/>
      <c r="J24" s="209"/>
      <c r="K24" s="209"/>
      <c r="L24" s="210"/>
    </row>
    <row r="25" spans="1:12" ht="15" customHeight="1">
      <c r="A25" s="340">
        <v>14</v>
      </c>
      <c r="B25" s="341" t="s">
        <v>7</v>
      </c>
      <c r="C25" s="709">
        <v>0.1979571176316797</v>
      </c>
      <c r="D25" s="708">
        <v>0.20165843052568264</v>
      </c>
      <c r="E25" s="708">
        <v>0.19999527941386908</v>
      </c>
      <c r="F25" s="708">
        <v>0.19869999999999999</v>
      </c>
      <c r="G25" s="698">
        <v>0.217</v>
      </c>
      <c r="I25" s="644"/>
      <c r="J25" s="645">
        <v>0.16472293116836484</v>
      </c>
      <c r="K25" s="645">
        <v>0.16516382001352556</v>
      </c>
      <c r="L25" s="646">
        <v>0.17369436084755779</v>
      </c>
    </row>
    <row r="26" spans="1:12">
      <c r="A26" s="340">
        <v>15</v>
      </c>
      <c r="B26" s="341" t="s">
        <v>8</v>
      </c>
      <c r="C26" s="709">
        <v>8.810942577223671E-2</v>
      </c>
      <c r="D26" s="708">
        <v>8.8709309573833328E-2</v>
      </c>
      <c r="E26" s="708">
        <v>8.9230553744010108E-2</v>
      </c>
      <c r="F26" s="708">
        <v>8.9499999999999996E-2</v>
      </c>
      <c r="G26" s="698">
        <v>9.6799999999999997E-2</v>
      </c>
      <c r="I26" s="644"/>
      <c r="J26" s="645">
        <v>8.698686307012729E-2</v>
      </c>
      <c r="K26" s="645">
        <v>8.7022423581187697E-2</v>
      </c>
      <c r="L26" s="646">
        <v>9.3747599787266697E-2</v>
      </c>
    </row>
    <row r="27" spans="1:12">
      <c r="A27" s="340">
        <v>16</v>
      </c>
      <c r="B27" s="341" t="s">
        <v>9</v>
      </c>
      <c r="C27" s="709">
        <v>5.0417838789580248E-2</v>
      </c>
      <c r="D27" s="708">
        <v>4.8751558674860834E-2</v>
      </c>
      <c r="E27" s="708">
        <v>4.535246578869833E-2</v>
      </c>
      <c r="F27" s="708">
        <v>4.3799999999999999E-2</v>
      </c>
      <c r="G27" s="698">
        <v>5.7200000000000001E-2</v>
      </c>
      <c r="I27" s="644"/>
      <c r="J27" s="645">
        <v>3.2228817310131372E-2</v>
      </c>
      <c r="K27" s="645">
        <v>4.0038876592750676E-2</v>
      </c>
      <c r="L27" s="646">
        <v>3.6082132132482826E-2</v>
      </c>
    </row>
    <row r="28" spans="1:12">
      <c r="A28" s="340">
        <v>17</v>
      </c>
      <c r="B28" s="341" t="s">
        <v>140</v>
      </c>
      <c r="C28" s="709">
        <v>0.10984769185944297</v>
      </c>
      <c r="D28" s="708">
        <v>0.11294912095184928</v>
      </c>
      <c r="E28" s="708">
        <v>0.11076472566985895</v>
      </c>
      <c r="F28" s="708">
        <v>0.10919999999999999</v>
      </c>
      <c r="G28" s="698">
        <v>0.1202</v>
      </c>
      <c r="I28" s="644"/>
      <c r="J28" s="645">
        <v>7.7736068098237535E-2</v>
      </c>
      <c r="K28" s="645">
        <v>7.8141396432337862E-2</v>
      </c>
      <c r="L28" s="646">
        <v>7.9946761060291097E-2</v>
      </c>
    </row>
    <row r="29" spans="1:12">
      <c r="A29" s="340">
        <v>18</v>
      </c>
      <c r="B29" s="341" t="s">
        <v>10</v>
      </c>
      <c r="C29" s="709">
        <v>1.7156341686674154E-2</v>
      </c>
      <c r="D29" s="708">
        <v>1.5755517094875125E-2</v>
      </c>
      <c r="E29" s="708">
        <v>1.2539140240782745E-2</v>
      </c>
      <c r="F29" s="708">
        <v>9.1999999999999998E-3</v>
      </c>
      <c r="G29" s="698">
        <v>2.47E-2</v>
      </c>
      <c r="I29" s="644"/>
      <c r="J29" s="645">
        <v>2.1427121222337031E-2</v>
      </c>
      <c r="K29" s="645">
        <v>2.7364499316997783E-2</v>
      </c>
      <c r="L29" s="646">
        <v>1.7382715990512006E-2</v>
      </c>
    </row>
    <row r="30" spans="1:12">
      <c r="A30" s="340">
        <v>19</v>
      </c>
      <c r="B30" s="341" t="s">
        <v>11</v>
      </c>
      <c r="C30" s="709">
        <v>0.1391142674428443</v>
      </c>
      <c r="D30" s="708">
        <v>0.12818915166632455</v>
      </c>
      <c r="E30" s="708">
        <v>0.10215598934812109</v>
      </c>
      <c r="F30" s="708">
        <v>7.4800000000000005E-2</v>
      </c>
      <c r="G30" s="698">
        <v>0.19750000000000001</v>
      </c>
      <c r="I30" s="644"/>
      <c r="J30" s="645">
        <v>0.19558561384584894</v>
      </c>
      <c r="K30" s="645">
        <v>0.25243818124239986</v>
      </c>
      <c r="L30" s="646">
        <v>0.15770000000000001</v>
      </c>
    </row>
    <row r="31" spans="1:12">
      <c r="A31" s="333"/>
      <c r="B31" s="334" t="s">
        <v>12</v>
      </c>
      <c r="C31" s="209"/>
      <c r="D31" s="209"/>
      <c r="E31" s="209"/>
      <c r="F31" s="209"/>
      <c r="G31" s="210"/>
      <c r="I31" s="630"/>
      <c r="J31" s="209"/>
      <c r="K31" s="209"/>
      <c r="L31" s="210"/>
    </row>
    <row r="32" spans="1:12">
      <c r="A32" s="340">
        <v>20</v>
      </c>
      <c r="B32" s="341" t="s">
        <v>13</v>
      </c>
      <c r="C32" s="709">
        <v>7.0359401598570834E-3</v>
      </c>
      <c r="D32" s="710">
        <v>7.4144834285758739E-3</v>
      </c>
      <c r="E32" s="710">
        <v>7.7999999999999996E-3</v>
      </c>
      <c r="F32" s="710">
        <v>8.5000000000000006E-3</v>
      </c>
      <c r="G32" s="721">
        <v>9.78610893620167E-3</v>
      </c>
      <c r="I32" s="644"/>
      <c r="J32" s="645">
        <v>1.9863989380456613E-2</v>
      </c>
      <c r="K32" s="645">
        <v>1.9599999999999999E-2</v>
      </c>
      <c r="L32" s="646">
        <v>2.3871096451951922E-2</v>
      </c>
    </row>
    <row r="33" spans="1:12" ht="15" customHeight="1">
      <c r="A33" s="340">
        <v>21</v>
      </c>
      <c r="B33" s="341" t="s">
        <v>994</v>
      </c>
      <c r="C33" s="709">
        <v>1.9081177335251141E-2</v>
      </c>
      <c r="D33" s="708">
        <v>2.1419550833918735E-2</v>
      </c>
      <c r="E33" s="708">
        <v>2.1999999999999999E-2</v>
      </c>
      <c r="F33" s="708">
        <v>2.41E-2</v>
      </c>
      <c r="G33" s="698">
        <v>2.0500000000000001E-2</v>
      </c>
      <c r="I33" s="644"/>
      <c r="J33" s="645">
        <v>3.0701935911251893E-2</v>
      </c>
      <c r="K33" s="645">
        <v>3.2106452602982609E-2</v>
      </c>
      <c r="L33" s="646">
        <v>3.3211170692005902E-2</v>
      </c>
    </row>
    <row r="34" spans="1:12">
      <c r="A34" s="340">
        <v>22</v>
      </c>
      <c r="B34" s="341" t="s">
        <v>14</v>
      </c>
      <c r="C34" s="709">
        <v>0.10343636383600086</v>
      </c>
      <c r="D34" s="708">
        <v>0.10351869435446093</v>
      </c>
      <c r="E34" s="708">
        <v>0.1048</v>
      </c>
      <c r="F34" s="708">
        <v>0.1047</v>
      </c>
      <c r="G34" s="698">
        <v>0.10639999999999999</v>
      </c>
      <c r="I34" s="644"/>
      <c r="J34" s="645">
        <v>0.10448446454123435</v>
      </c>
      <c r="K34" s="645">
        <v>0.10440000000000001</v>
      </c>
      <c r="L34" s="646">
        <v>0.10606337289064827</v>
      </c>
    </row>
    <row r="35" spans="1:12" ht="15" customHeight="1">
      <c r="A35" s="340">
        <v>23</v>
      </c>
      <c r="B35" s="341" t="s">
        <v>15</v>
      </c>
      <c r="C35" s="709">
        <v>0.15483093698015762</v>
      </c>
      <c r="D35" s="708">
        <v>0.16217350737877462</v>
      </c>
      <c r="E35" s="708">
        <v>0.15959999999999999</v>
      </c>
      <c r="F35" s="708">
        <v>0.1651</v>
      </c>
      <c r="G35" s="698">
        <v>0.16889999999999999</v>
      </c>
      <c r="I35" s="644"/>
      <c r="J35" s="645">
        <v>0.15763967398674023</v>
      </c>
      <c r="K35" s="645">
        <v>0.16300000000000001</v>
      </c>
      <c r="L35" s="646">
        <v>0.16718068949181306</v>
      </c>
    </row>
    <row r="36" spans="1:12">
      <c r="A36" s="340">
        <v>24</v>
      </c>
      <c r="B36" s="341" t="s">
        <v>16</v>
      </c>
      <c r="C36" s="709">
        <v>0.1289793536211048</v>
      </c>
      <c r="D36" s="708">
        <v>6.9868414348527752E-2</v>
      </c>
      <c r="E36" s="708">
        <v>1.47E-2</v>
      </c>
      <c r="F36" s="708">
        <v>9.7000000000000003E-3</v>
      </c>
      <c r="G36" s="698">
        <v>0.25</v>
      </c>
      <c r="I36" s="644"/>
      <c r="J36" s="645">
        <v>4.3132208158023211E-2</v>
      </c>
      <c r="K36" s="645">
        <v>5.2700000000000004E-3</v>
      </c>
      <c r="L36" s="646">
        <v>0.20085356712840197</v>
      </c>
    </row>
    <row r="37" spans="1:12" ht="15" customHeight="1">
      <c r="A37" s="333"/>
      <c r="B37" s="334" t="s">
        <v>17</v>
      </c>
      <c r="C37" s="209"/>
      <c r="D37" s="209"/>
      <c r="E37" s="209"/>
      <c r="F37" s="209"/>
      <c r="G37" s="210"/>
      <c r="I37" s="630"/>
      <c r="J37" s="209"/>
      <c r="K37" s="209"/>
      <c r="L37" s="210"/>
    </row>
    <row r="38" spans="1:12" ht="15" customHeight="1">
      <c r="A38" s="340">
        <v>25</v>
      </c>
      <c r="B38" s="341" t="s">
        <v>18</v>
      </c>
      <c r="C38" s="801">
        <v>0.1323</v>
      </c>
      <c r="D38" s="709">
        <v>0.13885243177897869</v>
      </c>
      <c r="E38" s="709">
        <v>0.1237</v>
      </c>
      <c r="F38" s="709">
        <v>0.15390000000000001</v>
      </c>
      <c r="G38" s="699">
        <v>0.1338</v>
      </c>
      <c r="I38" s="647"/>
      <c r="J38" s="648">
        <v>0.13306139921560961</v>
      </c>
      <c r="K38" s="648">
        <v>0.13250000000000001</v>
      </c>
      <c r="L38" s="649">
        <v>0.13224218771062179</v>
      </c>
    </row>
    <row r="39" spans="1:12" ht="15" customHeight="1">
      <c r="A39" s="340">
        <v>26</v>
      </c>
      <c r="B39" s="341" t="s">
        <v>19</v>
      </c>
      <c r="C39" s="709">
        <v>0.28210000000000002</v>
      </c>
      <c r="D39" s="709">
        <v>0.27619886094964935</v>
      </c>
      <c r="E39" s="709">
        <v>0.27900000000000003</v>
      </c>
      <c r="F39" s="709">
        <v>0.27389999999999998</v>
      </c>
      <c r="G39" s="699">
        <v>0.28139999999999998</v>
      </c>
      <c r="I39" s="647"/>
      <c r="J39" s="648">
        <v>0.27400709540261015</v>
      </c>
      <c r="K39" s="648">
        <v>0.26879999999999998</v>
      </c>
      <c r="L39" s="649">
        <v>0.27629870187215017</v>
      </c>
    </row>
    <row r="40" spans="1:12" ht="15" customHeight="1">
      <c r="A40" s="340">
        <v>27</v>
      </c>
      <c r="B40" s="342" t="s">
        <v>20</v>
      </c>
      <c r="C40" s="709">
        <v>0.13220000000000001</v>
      </c>
      <c r="D40" s="709">
        <v>0.11626490808823245</v>
      </c>
      <c r="E40" s="709">
        <v>0.1143</v>
      </c>
      <c r="F40" s="709">
        <v>9.5200000000000007E-2</v>
      </c>
      <c r="G40" s="699">
        <v>0.10299999999999999</v>
      </c>
      <c r="I40" s="647"/>
      <c r="J40" s="648">
        <v>0.11290332193742683</v>
      </c>
      <c r="K40" s="648">
        <v>9.3948753316354827E-2</v>
      </c>
      <c r="L40" s="649">
        <v>0.10219181016612465</v>
      </c>
    </row>
    <row r="41" spans="1:12" ht="15" customHeight="1">
      <c r="A41" s="345"/>
      <c r="B41" s="334" t="s">
        <v>356</v>
      </c>
      <c r="C41" s="209"/>
      <c r="D41" s="209"/>
      <c r="E41" s="209"/>
      <c r="F41" s="209"/>
      <c r="G41" s="210"/>
      <c r="I41" s="630"/>
      <c r="J41" s="209"/>
      <c r="K41" s="209"/>
      <c r="L41" s="210"/>
    </row>
    <row r="42" spans="1:12" ht="15" customHeight="1">
      <c r="A42" s="340">
        <v>28</v>
      </c>
      <c r="B42" s="386" t="s">
        <v>340</v>
      </c>
      <c r="C42" s="806">
        <v>310366256.82059133</v>
      </c>
      <c r="D42" s="711">
        <v>297388065.41654223</v>
      </c>
      <c r="E42" s="711">
        <v>250231994.76926982</v>
      </c>
      <c r="F42" s="711">
        <v>286397601.06285328</v>
      </c>
      <c r="G42" s="344">
        <v>304823527.32999998</v>
      </c>
      <c r="I42" s="650"/>
      <c r="J42" s="650">
        <v>273697131.07999998</v>
      </c>
      <c r="K42" s="638">
        <v>250231994.76926982</v>
      </c>
      <c r="L42" s="638">
        <v>253102321.96526882</v>
      </c>
    </row>
    <row r="43" spans="1:12">
      <c r="A43" s="340">
        <v>29</v>
      </c>
      <c r="B43" s="341" t="s">
        <v>341</v>
      </c>
      <c r="C43" s="806">
        <v>190296632.22046226</v>
      </c>
      <c r="D43" s="712">
        <v>146641907.00037274</v>
      </c>
      <c r="E43" s="712">
        <v>134230427.80348599</v>
      </c>
      <c r="F43" s="712">
        <v>155335520.8722477</v>
      </c>
      <c r="G43" s="343">
        <v>132521210.6609405</v>
      </c>
      <c r="I43" s="650"/>
      <c r="J43" s="650">
        <v>144543917.90864196</v>
      </c>
      <c r="K43" s="637">
        <v>135321272.21771568</v>
      </c>
      <c r="L43" s="637">
        <v>119163803.34261332</v>
      </c>
    </row>
    <row r="44" spans="1:12">
      <c r="A44" s="381">
        <v>30</v>
      </c>
      <c r="B44" s="382" t="s">
        <v>339</v>
      </c>
      <c r="C44" s="807">
        <v>1.6309603233599328</v>
      </c>
      <c r="D44" s="714">
        <v>2.0279882572434516</v>
      </c>
      <c r="E44" s="714">
        <v>1.8641972529180246</v>
      </c>
      <c r="F44" s="713">
        <v>1.8437354151494734</v>
      </c>
      <c r="G44" s="720">
        <v>2.3001867082990977</v>
      </c>
      <c r="I44" s="768"/>
      <c r="J44" s="651">
        <v>1.893522294400436</v>
      </c>
      <c r="K44" s="648">
        <v>1.8491696883153492</v>
      </c>
      <c r="L44" s="648">
        <v>2.1239866038646209</v>
      </c>
    </row>
    <row r="45" spans="1:12">
      <c r="A45" s="381"/>
      <c r="B45" s="334" t="s">
        <v>453</v>
      </c>
      <c r="C45" s="209"/>
      <c r="D45" s="209"/>
      <c r="E45" s="209"/>
      <c r="F45" s="209"/>
      <c r="G45" s="210"/>
      <c r="I45" s="630"/>
      <c r="J45" s="209"/>
      <c r="K45" s="209"/>
      <c r="L45" s="210"/>
    </row>
    <row r="46" spans="1:12">
      <c r="A46" s="381">
        <v>31</v>
      </c>
      <c r="B46" s="382" t="s">
        <v>460</v>
      </c>
      <c r="C46" s="383">
        <v>1736642288.6246829</v>
      </c>
      <c r="D46" s="384">
        <v>1683962194.49</v>
      </c>
      <c r="E46" s="384">
        <v>1699059876.4952438</v>
      </c>
      <c r="F46" s="384">
        <v>1727302081.0853016</v>
      </c>
      <c r="G46" s="385">
        <v>1662866748.7295167</v>
      </c>
      <c r="I46" s="652"/>
      <c r="J46" s="653">
        <v>1670552616.4387963</v>
      </c>
      <c r="K46" s="639">
        <v>1708303840.8290756</v>
      </c>
      <c r="L46" s="639">
        <v>1636746781.3146591</v>
      </c>
    </row>
    <row r="47" spans="1:12">
      <c r="A47" s="381">
        <v>32</v>
      </c>
      <c r="B47" s="382" t="s">
        <v>473</v>
      </c>
      <c r="C47" s="383">
        <v>1449863861.8758135</v>
      </c>
      <c r="D47" s="384">
        <v>1367414778.53</v>
      </c>
      <c r="E47" s="384">
        <v>1360891625.4603355</v>
      </c>
      <c r="F47" s="384">
        <v>1301909354.2163918</v>
      </c>
      <c r="G47" s="385">
        <v>1309431695.3216999</v>
      </c>
      <c r="I47" s="652"/>
      <c r="J47" s="653">
        <v>1371227000.0091734</v>
      </c>
      <c r="K47" s="639">
        <v>1307961758.9002852</v>
      </c>
      <c r="L47" s="639">
        <v>1302558651.2794161</v>
      </c>
    </row>
    <row r="48" spans="1:12" ht="15" thickBot="1">
      <c r="A48" s="74">
        <v>33</v>
      </c>
      <c r="B48" s="164" t="s">
        <v>487</v>
      </c>
      <c r="C48" s="730">
        <v>1.1977967961611509</v>
      </c>
      <c r="D48" s="718">
        <v>1.231493341</v>
      </c>
      <c r="E48" s="718">
        <v>1.248490213848233</v>
      </c>
      <c r="F48" s="718">
        <v>1.3267452726191911</v>
      </c>
      <c r="G48" s="719">
        <v>1.269914845249706</v>
      </c>
      <c r="I48" s="654"/>
      <c r="J48" s="655">
        <v>1.2182903461116361</v>
      </c>
      <c r="K48" s="656">
        <v>1.3060808767569718</v>
      </c>
      <c r="L48" s="656">
        <v>1.2565628270995648</v>
      </c>
    </row>
    <row r="49" spans="1:2">
      <c r="A49" s="15"/>
    </row>
    <row r="50" spans="1:2" ht="41.4">
      <c r="B50" s="17" t="s">
        <v>955</v>
      </c>
    </row>
    <row r="51" spans="1:2" ht="69">
      <c r="B51" s="24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topLeftCell="B1" zoomScale="90" zoomScaleNormal="90" workbookViewId="0">
      <selection activeCell="G21" sqref="G21"/>
    </sheetView>
  </sheetViews>
  <sheetFormatPr defaultColWidth="9.21875" defaultRowHeight="12"/>
  <cols>
    <col min="1" max="1" width="11.77734375" style="392" bestFit="1" customWidth="1"/>
    <col min="2" max="2" width="93" style="392" customWidth="1"/>
    <col min="3" max="3" width="25.33203125" style="392" customWidth="1"/>
    <col min="4" max="4" width="21" style="392" customWidth="1"/>
    <col min="5" max="5" width="17.33203125" style="392" bestFit="1" customWidth="1"/>
    <col min="6" max="6" width="20.33203125" style="392" customWidth="1"/>
    <col min="7" max="7" width="30.44140625" style="392" customWidth="1"/>
    <col min="8" max="8" width="19.21875" style="392" customWidth="1"/>
    <col min="9" max="16384" width="9.21875" style="392"/>
  </cols>
  <sheetData>
    <row r="1" spans="1:8" ht="13.8">
      <c r="A1" s="391" t="s">
        <v>108</v>
      </c>
      <c r="B1" s="310" t="str">
        <f>Info!C2</f>
        <v>კრედო</v>
      </c>
    </row>
    <row r="2" spans="1:8">
      <c r="A2" s="391" t="s">
        <v>109</v>
      </c>
      <c r="B2" s="394">
        <f>'1. key ratios'!B2</f>
        <v>45291</v>
      </c>
    </row>
    <row r="3" spans="1:8">
      <c r="A3" s="393" t="s">
        <v>493</v>
      </c>
    </row>
    <row r="5" spans="1:8">
      <c r="A5" s="882" t="s">
        <v>494</v>
      </c>
      <c r="B5" s="883"/>
      <c r="C5" s="888" t="s">
        <v>495</v>
      </c>
      <c r="D5" s="889"/>
      <c r="E5" s="889"/>
      <c r="F5" s="889"/>
      <c r="G5" s="889"/>
      <c r="H5" s="890"/>
    </row>
    <row r="6" spans="1:8">
      <c r="A6" s="884"/>
      <c r="B6" s="885"/>
      <c r="C6" s="891"/>
      <c r="D6" s="892"/>
      <c r="E6" s="892"/>
      <c r="F6" s="892"/>
      <c r="G6" s="892"/>
      <c r="H6" s="893"/>
    </row>
    <row r="7" spans="1:8" ht="24">
      <c r="A7" s="886"/>
      <c r="B7" s="887"/>
      <c r="C7" s="502" t="s">
        <v>496</v>
      </c>
      <c r="D7" s="502" t="s">
        <v>497</v>
      </c>
      <c r="E7" s="502" t="s">
        <v>498</v>
      </c>
      <c r="F7" s="502" t="s">
        <v>499</v>
      </c>
      <c r="G7" s="502" t="s">
        <v>680</v>
      </c>
      <c r="H7" s="502" t="s">
        <v>66</v>
      </c>
    </row>
    <row r="8" spans="1:8">
      <c r="A8" s="498">
        <v>1</v>
      </c>
      <c r="B8" s="497" t="s">
        <v>134</v>
      </c>
      <c r="C8" s="671">
        <v>64016710</v>
      </c>
      <c r="D8" s="671">
        <v>3006908</v>
      </c>
      <c r="E8" s="671">
        <v>19745284</v>
      </c>
      <c r="F8" s="671"/>
      <c r="G8" s="671">
        <v>83216688</v>
      </c>
      <c r="H8" s="671">
        <f t="shared" ref="H8:H21" si="0">SUM(C8:G8)</f>
        <v>169985590</v>
      </c>
    </row>
    <row r="9" spans="1:8">
      <c r="A9" s="498">
        <v>2</v>
      </c>
      <c r="B9" s="497" t="s">
        <v>135</v>
      </c>
      <c r="C9" s="671"/>
      <c r="D9" s="671"/>
      <c r="E9" s="671"/>
      <c r="F9" s="671"/>
      <c r="G9" s="671"/>
      <c r="H9" s="671">
        <f t="shared" si="0"/>
        <v>0</v>
      </c>
    </row>
    <row r="10" spans="1:8">
      <c r="A10" s="498">
        <v>3</v>
      </c>
      <c r="B10" s="497" t="s">
        <v>136</v>
      </c>
      <c r="C10" s="671"/>
      <c r="D10" s="671">
        <v>26136325.489999998</v>
      </c>
      <c r="E10" s="671"/>
      <c r="F10" s="671"/>
      <c r="G10" s="671"/>
      <c r="H10" s="671">
        <f t="shared" si="0"/>
        <v>26136325.489999998</v>
      </c>
    </row>
    <row r="11" spans="1:8">
      <c r="A11" s="498">
        <v>4</v>
      </c>
      <c r="B11" s="497" t="s">
        <v>137</v>
      </c>
      <c r="C11" s="671"/>
      <c r="D11" s="671"/>
      <c r="E11" s="671"/>
      <c r="F11" s="671"/>
      <c r="G11" s="671"/>
      <c r="H11" s="671">
        <f t="shared" si="0"/>
        <v>0</v>
      </c>
    </row>
    <row r="12" spans="1:8">
      <c r="A12" s="498">
        <v>5</v>
      </c>
      <c r="B12" s="497" t="s">
        <v>990</v>
      </c>
      <c r="C12" s="671"/>
      <c r="D12" s="671"/>
      <c r="E12" s="671"/>
      <c r="F12" s="671"/>
      <c r="G12" s="671"/>
      <c r="H12" s="671">
        <f t="shared" si="0"/>
        <v>0</v>
      </c>
    </row>
    <row r="13" spans="1:8">
      <c r="A13" s="498">
        <v>6</v>
      </c>
      <c r="B13" s="497" t="s">
        <v>138</v>
      </c>
      <c r="C13" s="671">
        <v>82546122.430000007</v>
      </c>
      <c r="D13" s="671"/>
      <c r="E13" s="671"/>
      <c r="F13" s="671"/>
      <c r="G13" s="671"/>
      <c r="H13" s="671">
        <f t="shared" si="0"/>
        <v>82546122.430000007</v>
      </c>
    </row>
    <row r="14" spans="1:8">
      <c r="A14" s="498">
        <v>7</v>
      </c>
      <c r="B14" s="497" t="s">
        <v>71</v>
      </c>
      <c r="C14" s="723"/>
      <c r="D14" s="723">
        <v>1974906.5320000001</v>
      </c>
      <c r="E14" s="723">
        <v>4053390.1399999997</v>
      </c>
      <c r="F14" s="723">
        <v>17132667.103999991</v>
      </c>
      <c r="G14" s="723"/>
      <c r="H14" s="671">
        <f t="shared" si="0"/>
        <v>23160963.775999993</v>
      </c>
    </row>
    <row r="15" spans="1:8">
      <c r="A15" s="498">
        <v>8</v>
      </c>
      <c r="B15" s="499" t="s">
        <v>72</v>
      </c>
      <c r="C15" s="723">
        <v>11998346.700000001</v>
      </c>
      <c r="D15" s="723">
        <v>318028677.030819</v>
      </c>
      <c r="E15" s="723">
        <v>1190742282.1164365</v>
      </c>
      <c r="F15" s="723">
        <v>339329920.33856916</v>
      </c>
      <c r="G15" s="723">
        <v>453373.55000000034</v>
      </c>
      <c r="H15" s="671">
        <f t="shared" si="0"/>
        <v>1860552599.7358246</v>
      </c>
    </row>
    <row r="16" spans="1:8">
      <c r="A16" s="498">
        <v>9</v>
      </c>
      <c r="B16" s="497" t="s">
        <v>991</v>
      </c>
      <c r="C16" s="723">
        <v>254464.93</v>
      </c>
      <c r="D16" s="723">
        <v>2772237.6971815815</v>
      </c>
      <c r="E16" s="723">
        <v>30220463.14355715</v>
      </c>
      <c r="F16" s="723">
        <v>68185323.367431343</v>
      </c>
      <c r="G16" s="723"/>
      <c r="H16" s="671">
        <f t="shared" si="0"/>
        <v>101432489.13817008</v>
      </c>
    </row>
    <row r="17" spans="1:8">
      <c r="A17" s="498">
        <v>10</v>
      </c>
      <c r="B17" s="501" t="s">
        <v>514</v>
      </c>
      <c r="C17" s="723">
        <v>2555586.1899999985</v>
      </c>
      <c r="D17" s="723">
        <v>621823.4700000023</v>
      </c>
      <c r="E17" s="723">
        <v>2331905.0799999908</v>
      </c>
      <c r="F17" s="723">
        <v>1602085.9400000011</v>
      </c>
      <c r="G17" s="723">
        <v>189817.55000000002</v>
      </c>
      <c r="H17" s="671">
        <f t="shared" si="0"/>
        <v>7301218.229999993</v>
      </c>
    </row>
    <row r="18" spans="1:8">
      <c r="A18" s="498">
        <v>11</v>
      </c>
      <c r="B18" s="497" t="s">
        <v>68</v>
      </c>
      <c r="C18" s="723"/>
      <c r="D18" s="723"/>
      <c r="E18" s="723"/>
      <c r="F18" s="723"/>
      <c r="G18" s="723"/>
      <c r="H18" s="671">
        <f t="shared" si="0"/>
        <v>0</v>
      </c>
    </row>
    <row r="19" spans="1:8">
      <c r="A19" s="498">
        <v>12</v>
      </c>
      <c r="B19" s="497" t="s">
        <v>69</v>
      </c>
      <c r="C19" s="671"/>
      <c r="D19" s="671"/>
      <c r="E19" s="671"/>
      <c r="F19" s="671"/>
      <c r="G19" s="671"/>
      <c r="H19" s="671">
        <f t="shared" si="0"/>
        <v>0</v>
      </c>
    </row>
    <row r="20" spans="1:8">
      <c r="A20" s="500">
        <v>13</v>
      </c>
      <c r="B20" s="499" t="s">
        <v>70</v>
      </c>
      <c r="C20" s="671"/>
      <c r="D20" s="671"/>
      <c r="E20" s="671"/>
      <c r="F20" s="671"/>
      <c r="G20" s="671"/>
      <c r="H20" s="671">
        <f t="shared" si="0"/>
        <v>0</v>
      </c>
    </row>
    <row r="21" spans="1:8">
      <c r="A21" s="498">
        <v>14</v>
      </c>
      <c r="B21" s="497" t="s">
        <v>500</v>
      </c>
      <c r="C21" s="723">
        <v>91228953.689999998</v>
      </c>
      <c r="D21" s="723">
        <f>28611234+1821169</f>
        <v>30432403</v>
      </c>
      <c r="E21" s="723">
        <v>15321222</v>
      </c>
      <c r="F21" s="723"/>
      <c r="G21" s="723">
        <v>45907008.240000017</v>
      </c>
      <c r="H21" s="671">
        <f t="shared" si="0"/>
        <v>182889586.93000001</v>
      </c>
    </row>
    <row r="22" spans="1:8">
      <c r="A22" s="496">
        <v>15</v>
      </c>
      <c r="B22" s="495" t="s">
        <v>66</v>
      </c>
      <c r="C22" s="671">
        <f t="shared" ref="C22:H22" si="1">SUM(C18:C21)+SUM(C8:C16)</f>
        <v>250044597.75</v>
      </c>
      <c r="D22" s="671">
        <f t="shared" si="1"/>
        <v>382351457.7500006</v>
      </c>
      <c r="E22" s="671">
        <f t="shared" si="1"/>
        <v>1260082641.3999937</v>
      </c>
      <c r="F22" s="671">
        <f t="shared" si="1"/>
        <v>424647910.81000048</v>
      </c>
      <c r="G22" s="671">
        <f t="shared" si="1"/>
        <v>129577069.79000002</v>
      </c>
      <c r="H22" s="671">
        <f t="shared" si="1"/>
        <v>2446703677.4999948</v>
      </c>
    </row>
    <row r="25" spans="1:8" ht="13.8">
      <c r="D25" s="791"/>
      <c r="E25" s="791"/>
      <c r="F25" s="791"/>
      <c r="H25" s="675"/>
    </row>
    <row r="26" spans="1:8" ht="36">
      <c r="B26" s="409" t="s">
        <v>679</v>
      </c>
      <c r="E26" s="675"/>
      <c r="G26" s="674"/>
    </row>
    <row r="27" spans="1:8">
      <c r="G27" s="675"/>
      <c r="H27" s="675"/>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8"/>
  <sheetViews>
    <sheetView showGridLines="0" topLeftCell="C1" zoomScale="90" zoomScaleNormal="90" workbookViewId="0">
      <selection activeCell="G26" sqref="G26"/>
    </sheetView>
  </sheetViews>
  <sheetFormatPr defaultColWidth="9.21875" defaultRowHeight="12"/>
  <cols>
    <col min="1" max="1" width="11.77734375" style="395" bestFit="1" customWidth="1"/>
    <col min="2" max="2" width="86.77734375" style="392" customWidth="1"/>
    <col min="3" max="4" width="31.5546875" style="392" customWidth="1"/>
    <col min="5" max="7" width="22.21875" style="392" customWidth="1"/>
    <col min="8" max="8" width="41.44140625" style="392" customWidth="1"/>
    <col min="9" max="9" width="14.5546875" style="392" bestFit="1" customWidth="1"/>
    <col min="10" max="16384" width="9.21875" style="392"/>
  </cols>
  <sheetData>
    <row r="1" spans="1:10" ht="13.8">
      <c r="A1" s="391" t="s">
        <v>108</v>
      </c>
      <c r="B1" s="310" t="str">
        <f>Info!C2</f>
        <v>კრედო</v>
      </c>
      <c r="C1" s="517"/>
      <c r="D1" s="517"/>
      <c r="E1" s="517"/>
      <c r="F1" s="517"/>
      <c r="G1" s="517"/>
      <c r="H1" s="517"/>
    </row>
    <row r="2" spans="1:10">
      <c r="A2" s="391" t="s">
        <v>109</v>
      </c>
      <c r="B2" s="394">
        <f>'1. key ratios'!B2</f>
        <v>45291</v>
      </c>
      <c r="C2" s="517"/>
      <c r="D2" s="517"/>
      <c r="E2" s="517"/>
      <c r="F2" s="517"/>
      <c r="G2" s="517"/>
      <c r="H2" s="517"/>
    </row>
    <row r="3" spans="1:10">
      <c r="A3" s="393" t="s">
        <v>501</v>
      </c>
      <c r="B3" s="517"/>
      <c r="C3" s="517"/>
      <c r="D3" s="517"/>
      <c r="E3" s="517"/>
      <c r="F3" s="517"/>
      <c r="G3" s="517"/>
      <c r="H3" s="517"/>
    </row>
    <row r="4" spans="1:10">
      <c r="A4" s="518"/>
      <c r="B4" s="517"/>
      <c r="C4" s="516" t="s">
        <v>502</v>
      </c>
      <c r="D4" s="516" t="s">
        <v>503</v>
      </c>
      <c r="E4" s="516" t="s">
        <v>504</v>
      </c>
      <c r="F4" s="516" t="s">
        <v>505</v>
      </c>
      <c r="G4" s="516" t="s">
        <v>506</v>
      </c>
      <c r="H4" s="516" t="s">
        <v>507</v>
      </c>
    </row>
    <row r="5" spans="1:10" ht="34.049999999999997" customHeight="1">
      <c r="A5" s="882" t="s">
        <v>870</v>
      </c>
      <c r="B5" s="883"/>
      <c r="C5" s="896" t="s">
        <v>596</v>
      </c>
      <c r="D5" s="896"/>
      <c r="E5" s="896" t="s">
        <v>869</v>
      </c>
      <c r="F5" s="894" t="s">
        <v>868</v>
      </c>
      <c r="G5" s="894" t="s">
        <v>511</v>
      </c>
      <c r="H5" s="514" t="s">
        <v>867</v>
      </c>
    </row>
    <row r="6" spans="1:10" ht="24">
      <c r="A6" s="886"/>
      <c r="B6" s="887"/>
      <c r="C6" s="515" t="s">
        <v>512</v>
      </c>
      <c r="D6" s="515" t="s">
        <v>513</v>
      </c>
      <c r="E6" s="896"/>
      <c r="F6" s="895"/>
      <c r="G6" s="895"/>
      <c r="H6" s="514" t="s">
        <v>866</v>
      </c>
    </row>
    <row r="7" spans="1:10">
      <c r="A7" s="510">
        <v>1</v>
      </c>
      <c r="B7" s="509" t="s">
        <v>134</v>
      </c>
      <c r="C7" s="673"/>
      <c r="D7" s="673">
        <v>169985590</v>
      </c>
      <c r="E7" s="673"/>
      <c r="F7" s="673"/>
      <c r="G7" s="673"/>
      <c r="H7" s="676">
        <f t="shared" ref="H7:H20" si="0">C7+D7-E7-F7</f>
        <v>169985590</v>
      </c>
    </row>
    <row r="8" spans="1:10" ht="24">
      <c r="A8" s="510">
        <v>2</v>
      </c>
      <c r="B8" s="509" t="s">
        <v>135</v>
      </c>
      <c r="C8" s="673"/>
      <c r="D8" s="673">
        <v>0</v>
      </c>
      <c r="E8" s="673"/>
      <c r="F8" s="673"/>
      <c r="G8" s="673"/>
      <c r="H8" s="676">
        <f t="shared" si="0"/>
        <v>0</v>
      </c>
    </row>
    <row r="9" spans="1:10">
      <c r="A9" s="510">
        <v>3</v>
      </c>
      <c r="B9" s="509" t="s">
        <v>136</v>
      </c>
      <c r="C9" s="673"/>
      <c r="D9" s="673">
        <v>26136325.489999998</v>
      </c>
      <c r="E9" s="673"/>
      <c r="F9" s="673"/>
      <c r="G9" s="673"/>
      <c r="H9" s="676">
        <f t="shared" si="0"/>
        <v>26136325.489999998</v>
      </c>
    </row>
    <row r="10" spans="1:10">
      <c r="A10" s="510">
        <v>4</v>
      </c>
      <c r="B10" s="509" t="s">
        <v>137</v>
      </c>
      <c r="C10" s="673"/>
      <c r="D10" s="673">
        <v>0</v>
      </c>
      <c r="E10" s="673"/>
      <c r="F10" s="673"/>
      <c r="G10" s="673"/>
      <c r="H10" s="676">
        <f t="shared" si="0"/>
        <v>0</v>
      </c>
    </row>
    <row r="11" spans="1:10">
      <c r="A11" s="510">
        <v>5</v>
      </c>
      <c r="B11" s="509" t="s">
        <v>990</v>
      </c>
      <c r="C11" s="673"/>
      <c r="D11" s="673">
        <v>0</v>
      </c>
      <c r="E11" s="673"/>
      <c r="F11" s="673"/>
      <c r="G11" s="673"/>
      <c r="H11" s="676">
        <f t="shared" si="0"/>
        <v>0</v>
      </c>
    </row>
    <row r="12" spans="1:10">
      <c r="A12" s="510">
        <v>6</v>
      </c>
      <c r="B12" s="509" t="s">
        <v>138</v>
      </c>
      <c r="C12" s="673"/>
      <c r="D12" s="673">
        <v>82546122.430000007</v>
      </c>
      <c r="E12" s="673"/>
      <c r="F12" s="673"/>
      <c r="G12" s="673"/>
      <c r="H12" s="676">
        <f t="shared" si="0"/>
        <v>82546122.430000007</v>
      </c>
      <c r="I12" s="804"/>
      <c r="J12" s="804"/>
    </row>
    <row r="13" spans="1:10">
      <c r="A13" s="510">
        <v>7</v>
      </c>
      <c r="B13" s="509" t="s">
        <v>71</v>
      </c>
      <c r="C13" s="673"/>
      <c r="D13" s="673">
        <v>23222813.5</v>
      </c>
      <c r="E13" s="673">
        <v>61850</v>
      </c>
      <c r="F13" s="673"/>
      <c r="G13" s="694"/>
      <c r="H13" s="676">
        <f t="shared" si="0"/>
        <v>23160963.5</v>
      </c>
      <c r="I13" s="805"/>
      <c r="J13" s="804"/>
    </row>
    <row r="14" spans="1:10">
      <c r="A14" s="510">
        <v>8</v>
      </c>
      <c r="B14" s="511" t="s">
        <v>72</v>
      </c>
      <c r="C14" s="673">
        <v>14231710.32</v>
      </c>
      <c r="D14" s="694">
        <v>1884342170.5</v>
      </c>
      <c r="E14" s="673">
        <v>38021281</v>
      </c>
      <c r="F14" s="673"/>
      <c r="G14" s="694">
        <v>19725774.905486047</v>
      </c>
      <c r="H14" s="676">
        <f t="shared" si="0"/>
        <v>1860552599.8199999</v>
      </c>
      <c r="I14" s="805"/>
      <c r="J14" s="804"/>
    </row>
    <row r="15" spans="1:10">
      <c r="A15" s="510">
        <v>9</v>
      </c>
      <c r="B15" s="509" t="s">
        <v>991</v>
      </c>
      <c r="C15" s="673">
        <v>7357</v>
      </c>
      <c r="D15" s="694">
        <v>101957760.47</v>
      </c>
      <c r="E15" s="673">
        <v>532628</v>
      </c>
      <c r="F15" s="673"/>
      <c r="G15" s="694"/>
      <c r="H15" s="676">
        <f t="shared" si="0"/>
        <v>101432489.47</v>
      </c>
      <c r="I15" s="805"/>
      <c r="J15" s="804"/>
    </row>
    <row r="16" spans="1:10">
      <c r="A16" s="510">
        <v>10</v>
      </c>
      <c r="B16" s="513" t="s">
        <v>514</v>
      </c>
      <c r="C16" s="694">
        <v>14048226</v>
      </c>
      <c r="D16" s="694">
        <v>5501574.3799999999</v>
      </c>
      <c r="E16" s="694">
        <v>12248582</v>
      </c>
      <c r="F16" s="673"/>
      <c r="G16" s="694"/>
      <c r="H16" s="676">
        <f t="shared" si="0"/>
        <v>7301218.379999999</v>
      </c>
      <c r="I16" s="805"/>
      <c r="J16" s="804"/>
    </row>
    <row r="17" spans="1:8">
      <c r="A17" s="510">
        <v>11</v>
      </c>
      <c r="B17" s="509" t="s">
        <v>68</v>
      </c>
      <c r="C17" s="673"/>
      <c r="D17" s="673"/>
      <c r="E17" s="673"/>
      <c r="F17" s="673"/>
      <c r="G17" s="673"/>
      <c r="H17" s="676">
        <f t="shared" si="0"/>
        <v>0</v>
      </c>
    </row>
    <row r="18" spans="1:8">
      <c r="A18" s="510">
        <v>12</v>
      </c>
      <c r="B18" s="509" t="s">
        <v>69</v>
      </c>
      <c r="C18" s="673"/>
      <c r="D18" s="673"/>
      <c r="E18" s="673"/>
      <c r="F18" s="673"/>
      <c r="G18" s="673"/>
      <c r="H18" s="676">
        <f t="shared" si="0"/>
        <v>0</v>
      </c>
    </row>
    <row r="19" spans="1:8">
      <c r="A19" s="512">
        <v>13</v>
      </c>
      <c r="B19" s="511" t="s">
        <v>70</v>
      </c>
      <c r="C19" s="673"/>
      <c r="D19" s="673"/>
      <c r="E19" s="673"/>
      <c r="F19" s="673"/>
      <c r="G19" s="673"/>
      <c r="H19" s="676">
        <f t="shared" si="0"/>
        <v>0</v>
      </c>
    </row>
    <row r="20" spans="1:8">
      <c r="A20" s="510">
        <v>14</v>
      </c>
      <c r="B20" s="509" t="s">
        <v>500</v>
      </c>
      <c r="C20" s="694"/>
      <c r="D20" s="694">
        <v>206392242.83000001</v>
      </c>
      <c r="E20" s="694">
        <v>4199814</v>
      </c>
      <c r="F20" s="673"/>
      <c r="G20" s="673"/>
      <c r="H20" s="676">
        <f t="shared" si="0"/>
        <v>202192428.83000001</v>
      </c>
    </row>
    <row r="21" spans="1:8" s="396" customFormat="1">
      <c r="A21" s="508">
        <v>15</v>
      </c>
      <c r="B21" s="507" t="s">
        <v>66</v>
      </c>
      <c r="C21" s="672">
        <f t="shared" ref="C21:G21" si="1">SUM(C7:C15)+SUM(C17:C20)</f>
        <v>14239067.32</v>
      </c>
      <c r="D21" s="672">
        <f t="shared" si="1"/>
        <v>2494583025.2199998</v>
      </c>
      <c r="E21" s="672">
        <f t="shared" si="1"/>
        <v>42815573</v>
      </c>
      <c r="F21" s="672">
        <f t="shared" si="1"/>
        <v>0</v>
      </c>
      <c r="G21" s="672">
        <f t="shared" si="1"/>
        <v>19725774.905486047</v>
      </c>
      <c r="H21" s="676">
        <f>SUM(H7:H15)+SUM(H17:H20)</f>
        <v>2466006519.5399995</v>
      </c>
    </row>
    <row r="22" spans="1:8">
      <c r="A22" s="506">
        <v>16</v>
      </c>
      <c r="B22" s="505" t="s">
        <v>515</v>
      </c>
      <c r="C22" s="673">
        <f>C14+C15</f>
        <v>14239067.32</v>
      </c>
      <c r="D22" s="673">
        <f>SUM(D13:D15)</f>
        <v>2009522744.47</v>
      </c>
      <c r="E22" s="673">
        <f>SUM(E13:E15)</f>
        <v>38615759</v>
      </c>
      <c r="F22" s="673"/>
      <c r="G22" s="673">
        <v>19725774.905486047</v>
      </c>
      <c r="H22" s="503">
        <f>C22+D22-E22-F22</f>
        <v>1985146052.79</v>
      </c>
    </row>
    <row r="23" spans="1:8">
      <c r="A23" s="506">
        <v>17</v>
      </c>
      <c r="B23" s="505" t="s">
        <v>516</v>
      </c>
      <c r="C23" s="673"/>
      <c r="D23" s="673">
        <v>48888518</v>
      </c>
      <c r="E23" s="673"/>
      <c r="F23" s="673"/>
      <c r="G23" s="673"/>
      <c r="H23" s="503">
        <f>C23+D23-E23-F23</f>
        <v>48888518</v>
      </c>
    </row>
    <row r="24" spans="1:8">
      <c r="H24" s="724"/>
    </row>
    <row r="25" spans="1:8">
      <c r="D25" s="674"/>
      <c r="E25" s="674"/>
      <c r="F25" s="674"/>
      <c r="G25" s="675"/>
      <c r="H25" s="674"/>
    </row>
    <row r="26" spans="1:8" ht="42.45" customHeight="1">
      <c r="B26" s="409" t="s">
        <v>679</v>
      </c>
      <c r="D26" s="675"/>
      <c r="E26" s="674"/>
      <c r="F26" s="792"/>
      <c r="G26" s="675"/>
      <c r="H26" s="675"/>
    </row>
    <row r="27" spans="1:8">
      <c r="E27" s="674"/>
    </row>
    <row r="28" spans="1:8">
      <c r="D28" s="675"/>
      <c r="E28" s="675"/>
      <c r="H28" s="675"/>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7"/>
  <sheetViews>
    <sheetView showGridLines="0" tabSelected="1" topLeftCell="D6" zoomScale="90" zoomScaleNormal="90" workbookViewId="0">
      <selection activeCell="L14" sqref="L14"/>
    </sheetView>
  </sheetViews>
  <sheetFormatPr defaultColWidth="9.21875" defaultRowHeight="12"/>
  <cols>
    <col min="1" max="1" width="11" style="392" bestFit="1" customWidth="1"/>
    <col min="2" max="2" width="93.44140625" style="392" customWidth="1"/>
    <col min="3" max="4" width="35" style="392" customWidth="1"/>
    <col min="5" max="7" width="22" style="392" customWidth="1"/>
    <col min="8" max="8" width="42.21875" style="392" bestFit="1" customWidth="1"/>
    <col min="9" max="9" width="14.5546875" style="392" bestFit="1" customWidth="1"/>
    <col min="10" max="10" width="12" style="392" bestFit="1" customWidth="1"/>
    <col min="11" max="16384" width="9.21875" style="392"/>
  </cols>
  <sheetData>
    <row r="1" spans="1:10" ht="13.8">
      <c r="A1" s="391" t="s">
        <v>108</v>
      </c>
      <c r="B1" s="310" t="str">
        <f>Info!C2</f>
        <v>კრედო</v>
      </c>
      <c r="C1" s="517"/>
      <c r="D1" s="517"/>
      <c r="E1" s="517"/>
      <c r="F1" s="517"/>
      <c r="G1" s="517"/>
      <c r="H1" s="517"/>
    </row>
    <row r="2" spans="1:10">
      <c r="A2" s="391" t="s">
        <v>109</v>
      </c>
      <c r="B2" s="394">
        <f>'1. key ratios'!B2</f>
        <v>45291</v>
      </c>
      <c r="C2" s="517"/>
      <c r="D2" s="517"/>
      <c r="E2" s="517"/>
      <c r="F2" s="517"/>
      <c r="G2" s="517"/>
      <c r="H2" s="517"/>
    </row>
    <row r="3" spans="1:10">
      <c r="A3" s="393" t="s">
        <v>517</v>
      </c>
      <c r="B3" s="517"/>
      <c r="C3" s="517"/>
      <c r="D3" s="517"/>
      <c r="E3" s="517"/>
      <c r="F3" s="517"/>
      <c r="G3" s="517"/>
      <c r="H3" s="517"/>
    </row>
    <row r="4" spans="1:10">
      <c r="A4" s="517"/>
      <c r="B4" s="517"/>
      <c r="C4" s="516" t="s">
        <v>502</v>
      </c>
      <c r="D4" s="516" t="s">
        <v>503</v>
      </c>
      <c r="E4" s="516" t="s">
        <v>504</v>
      </c>
      <c r="F4" s="516" t="s">
        <v>505</v>
      </c>
      <c r="G4" s="516" t="s">
        <v>506</v>
      </c>
      <c r="H4" s="516" t="s">
        <v>507</v>
      </c>
    </row>
    <row r="5" spans="1:10" ht="41.55" customHeight="1">
      <c r="A5" s="882" t="s">
        <v>872</v>
      </c>
      <c r="B5" s="883"/>
      <c r="C5" s="897" t="s">
        <v>596</v>
      </c>
      <c r="D5" s="898"/>
      <c r="E5" s="894" t="s">
        <v>869</v>
      </c>
      <c r="F5" s="894" t="s">
        <v>868</v>
      </c>
      <c r="G5" s="894" t="s">
        <v>511</v>
      </c>
      <c r="H5" s="514" t="s">
        <v>867</v>
      </c>
    </row>
    <row r="6" spans="1:10" ht="24">
      <c r="A6" s="886"/>
      <c r="B6" s="887"/>
      <c r="C6" s="515" t="s">
        <v>512</v>
      </c>
      <c r="D6" s="515" t="s">
        <v>513</v>
      </c>
      <c r="E6" s="895"/>
      <c r="F6" s="895"/>
      <c r="G6" s="895"/>
      <c r="H6" s="514" t="s">
        <v>866</v>
      </c>
    </row>
    <row r="7" spans="1:10">
      <c r="A7" s="504">
        <v>1</v>
      </c>
      <c r="B7" s="520" t="s">
        <v>518</v>
      </c>
      <c r="C7" s="715">
        <v>166788.30940883898</v>
      </c>
      <c r="D7" s="716">
        <f>37225862.5864929+22752192+147233399</f>
        <v>207211453.5864929</v>
      </c>
      <c r="E7" s="716">
        <v>598455.09043339582</v>
      </c>
      <c r="F7" s="504"/>
      <c r="G7" s="694">
        <v>273841.90000000008</v>
      </c>
      <c r="H7" s="503">
        <f t="shared" ref="H7:H34" si="0">C7+D7-E7-F7</f>
        <v>206779786.80546835</v>
      </c>
      <c r="I7" s="997"/>
      <c r="J7" s="725"/>
    </row>
    <row r="8" spans="1:10">
      <c r="A8" s="504">
        <v>2</v>
      </c>
      <c r="B8" s="520" t="s">
        <v>519</v>
      </c>
      <c r="C8" s="715">
        <v>24448.39</v>
      </c>
      <c r="D8" s="716">
        <f>11725522.0681664+26136325+82546122</f>
        <v>120407969.0681664</v>
      </c>
      <c r="E8" s="716">
        <v>131010.87774214889</v>
      </c>
      <c r="F8" s="504"/>
      <c r="G8" s="694">
        <v>13293.03</v>
      </c>
      <c r="H8" s="503">
        <f t="shared" si="0"/>
        <v>120301406.58042426</v>
      </c>
      <c r="I8" s="997"/>
      <c r="J8" s="725"/>
    </row>
    <row r="9" spans="1:10">
      <c r="A9" s="504">
        <v>3</v>
      </c>
      <c r="B9" s="520" t="s">
        <v>871</v>
      </c>
      <c r="C9" s="715">
        <v>70770.948055247878</v>
      </c>
      <c r="D9" s="716">
        <v>6509958.2284035431</v>
      </c>
      <c r="E9" s="716">
        <v>193570.2997847223</v>
      </c>
      <c r="F9" s="504"/>
      <c r="G9" s="694">
        <v>56012.05000000001</v>
      </c>
      <c r="H9" s="503">
        <f t="shared" si="0"/>
        <v>6387158.8766740682</v>
      </c>
      <c r="I9" s="997"/>
      <c r="J9" s="725"/>
    </row>
    <row r="10" spans="1:10">
      <c r="A10" s="504">
        <v>4</v>
      </c>
      <c r="B10" s="520" t="s">
        <v>520</v>
      </c>
      <c r="C10" s="767"/>
      <c r="D10" s="716">
        <v>11890249.001402168</v>
      </c>
      <c r="E10" s="716">
        <v>34439.938588217905</v>
      </c>
      <c r="F10" s="504"/>
      <c r="G10" s="694">
        <v>770.27</v>
      </c>
      <c r="H10" s="503">
        <f t="shared" si="0"/>
        <v>11855809.062813949</v>
      </c>
      <c r="I10" s="997"/>
      <c r="J10" s="725"/>
    </row>
    <row r="11" spans="1:10">
      <c r="A11" s="504">
        <v>5</v>
      </c>
      <c r="B11" s="520" t="s">
        <v>521</v>
      </c>
      <c r="C11" s="715">
        <v>13520.5385829726</v>
      </c>
      <c r="D11" s="716">
        <v>34808587.82619635</v>
      </c>
      <c r="E11" s="716">
        <v>174147.10106253254</v>
      </c>
      <c r="F11" s="504"/>
      <c r="G11" s="694">
        <v>12631.030164</v>
      </c>
      <c r="H11" s="503">
        <f t="shared" si="0"/>
        <v>34647961.263716787</v>
      </c>
      <c r="I11" s="997"/>
      <c r="J11" s="725"/>
    </row>
    <row r="12" spans="1:10">
      <c r="A12" s="504">
        <v>6</v>
      </c>
      <c r="B12" s="520" t="s">
        <v>522</v>
      </c>
      <c r="C12" s="715">
        <v>57475.295821647407</v>
      </c>
      <c r="D12" s="716">
        <v>9367748.7965263817</v>
      </c>
      <c r="E12" s="716">
        <v>146383.5167179078</v>
      </c>
      <c r="F12" s="504"/>
      <c r="G12" s="694">
        <v>153208.88999999998</v>
      </c>
      <c r="H12" s="503">
        <f t="shared" si="0"/>
        <v>9278840.5756301228</v>
      </c>
      <c r="I12" s="997"/>
      <c r="J12" s="725"/>
    </row>
    <row r="13" spans="1:10">
      <c r="A13" s="504">
        <v>7</v>
      </c>
      <c r="B13" s="520" t="s">
        <v>523</v>
      </c>
      <c r="C13" s="715">
        <v>29306.686587021737</v>
      </c>
      <c r="D13" s="716">
        <v>3613948.6895379992</v>
      </c>
      <c r="E13" s="716">
        <v>80207.147624354577</v>
      </c>
      <c r="F13" s="504"/>
      <c r="G13" s="694">
        <v>30017.37</v>
      </c>
      <c r="H13" s="503">
        <f t="shared" si="0"/>
        <v>3563048.2285006661</v>
      </c>
      <c r="I13" s="997"/>
      <c r="J13" s="725"/>
    </row>
    <row r="14" spans="1:10">
      <c r="A14" s="504">
        <v>8</v>
      </c>
      <c r="B14" s="520" t="s">
        <v>524</v>
      </c>
      <c r="C14" s="715">
        <v>956754.42928396678</v>
      </c>
      <c r="D14" s="716">
        <v>145712538.82440516</v>
      </c>
      <c r="E14" s="716">
        <v>2738278.475319196</v>
      </c>
      <c r="F14" s="504"/>
      <c r="G14" s="694">
        <v>1130132.2104330007</v>
      </c>
      <c r="H14" s="503">
        <f t="shared" si="0"/>
        <v>143931014.77836993</v>
      </c>
      <c r="I14" s="997"/>
      <c r="J14" s="725"/>
    </row>
    <row r="15" spans="1:10">
      <c r="A15" s="504">
        <v>9</v>
      </c>
      <c r="B15" s="520" t="s">
        <v>525</v>
      </c>
      <c r="C15" s="715">
        <v>248622.14510124369</v>
      </c>
      <c r="D15" s="716">
        <v>28857241.393495977</v>
      </c>
      <c r="E15" s="716">
        <v>566054.70683550742</v>
      </c>
      <c r="F15" s="504"/>
      <c r="G15" s="694">
        <v>254949.49254000001</v>
      </c>
      <c r="H15" s="503">
        <f t="shared" si="0"/>
        <v>28539808.831761714</v>
      </c>
      <c r="I15" s="997"/>
      <c r="J15" s="725"/>
    </row>
    <row r="16" spans="1:10">
      <c r="A16" s="504">
        <v>10</v>
      </c>
      <c r="B16" s="520" t="s">
        <v>526</v>
      </c>
      <c r="C16" s="715">
        <v>114577.64865063546</v>
      </c>
      <c r="D16" s="716">
        <v>13748931.302118223</v>
      </c>
      <c r="E16" s="716">
        <v>256355.12507765411</v>
      </c>
      <c r="F16" s="504"/>
      <c r="G16" s="694">
        <v>180236.68027000001</v>
      </c>
      <c r="H16" s="503">
        <f t="shared" si="0"/>
        <v>13607153.825691205</v>
      </c>
      <c r="I16" s="997"/>
      <c r="J16" s="725"/>
    </row>
    <row r="17" spans="1:10">
      <c r="A17" s="504">
        <v>11</v>
      </c>
      <c r="B17" s="520" t="s">
        <v>527</v>
      </c>
      <c r="C17" s="715">
        <v>161155.42787727376</v>
      </c>
      <c r="D17" s="716">
        <v>6788226.1207708623</v>
      </c>
      <c r="E17" s="716">
        <v>227668.63712947746</v>
      </c>
      <c r="F17" s="504"/>
      <c r="G17" s="694">
        <v>94023.24000000002</v>
      </c>
      <c r="H17" s="503">
        <f t="shared" si="0"/>
        <v>6721712.9115186585</v>
      </c>
      <c r="I17" s="997"/>
      <c r="J17" s="725"/>
    </row>
    <row r="18" spans="1:10">
      <c r="A18" s="504">
        <v>12</v>
      </c>
      <c r="B18" s="520" t="s">
        <v>528</v>
      </c>
      <c r="C18" s="715">
        <v>529317.72416121315</v>
      </c>
      <c r="D18" s="716">
        <v>115726298.92237765</v>
      </c>
      <c r="E18" s="716">
        <v>1827762.8552917673</v>
      </c>
      <c r="F18" s="504"/>
      <c r="G18" s="694">
        <v>666717.22997800016</v>
      </c>
      <c r="H18" s="503">
        <f t="shared" si="0"/>
        <v>114427853.79124708</v>
      </c>
      <c r="I18" s="997"/>
      <c r="J18" s="725"/>
    </row>
    <row r="19" spans="1:10">
      <c r="A19" s="504">
        <v>13</v>
      </c>
      <c r="B19" s="520" t="s">
        <v>529</v>
      </c>
      <c r="C19" s="715">
        <v>65048.438661068729</v>
      </c>
      <c r="D19" s="716">
        <v>15909911.622159883</v>
      </c>
      <c r="E19" s="716">
        <v>249668.8621222277</v>
      </c>
      <c r="F19" s="504"/>
      <c r="G19" s="694">
        <v>430180.38231600006</v>
      </c>
      <c r="H19" s="503">
        <f t="shared" si="0"/>
        <v>15725291.198698724</v>
      </c>
      <c r="I19" s="997"/>
      <c r="J19" s="725"/>
    </row>
    <row r="20" spans="1:10">
      <c r="A20" s="504">
        <v>14</v>
      </c>
      <c r="B20" s="520" t="s">
        <v>530</v>
      </c>
      <c r="C20" s="715">
        <v>102178.04461280486</v>
      </c>
      <c r="D20" s="716">
        <v>53093736.949931458</v>
      </c>
      <c r="E20" s="716">
        <v>672360.18736909761</v>
      </c>
      <c r="F20" s="504"/>
      <c r="G20" s="694">
        <v>46410.629301999972</v>
      </c>
      <c r="H20" s="503">
        <f t="shared" si="0"/>
        <v>52523554.807175159</v>
      </c>
      <c r="I20" s="997"/>
      <c r="J20" s="725"/>
    </row>
    <row r="21" spans="1:10">
      <c r="A21" s="504">
        <v>15</v>
      </c>
      <c r="B21" s="520" t="s">
        <v>531</v>
      </c>
      <c r="C21" s="715">
        <v>208395.98972599331</v>
      </c>
      <c r="D21" s="716">
        <v>33983074.364175841</v>
      </c>
      <c r="E21" s="716">
        <v>844803.92814146553</v>
      </c>
      <c r="F21" s="504"/>
      <c r="G21" s="694">
        <v>294370.63882000023</v>
      </c>
      <c r="H21" s="503">
        <f t="shared" si="0"/>
        <v>33346666.425760366</v>
      </c>
      <c r="I21" s="997"/>
      <c r="J21" s="725"/>
    </row>
    <row r="22" spans="1:10">
      <c r="A22" s="504">
        <v>16</v>
      </c>
      <c r="B22" s="520" t="s">
        <v>532</v>
      </c>
      <c r="C22" s="715">
        <v>46934.098621513753</v>
      </c>
      <c r="D22" s="716">
        <v>10108502.194594819</v>
      </c>
      <c r="E22" s="716">
        <v>161700.33876138076</v>
      </c>
      <c r="F22" s="504"/>
      <c r="G22" s="694">
        <v>85990.147384000011</v>
      </c>
      <c r="H22" s="503">
        <f t="shared" si="0"/>
        <v>9993735.9544549529</v>
      </c>
      <c r="I22" s="997"/>
      <c r="J22" s="725"/>
    </row>
    <row r="23" spans="1:10">
      <c r="A23" s="504">
        <v>17</v>
      </c>
      <c r="B23" s="520" t="s">
        <v>533</v>
      </c>
      <c r="C23" s="715">
        <v>4565.25</v>
      </c>
      <c r="D23" s="716">
        <v>796120.93327907007</v>
      </c>
      <c r="E23" s="716">
        <v>16389.640343454445</v>
      </c>
      <c r="F23" s="504"/>
      <c r="G23" s="694">
        <v>2583.6999999999998</v>
      </c>
      <c r="H23" s="503">
        <f t="shared" si="0"/>
        <v>784296.54293561564</v>
      </c>
      <c r="I23" s="997"/>
      <c r="J23" s="725"/>
    </row>
    <row r="24" spans="1:10">
      <c r="A24" s="504">
        <v>18</v>
      </c>
      <c r="B24" s="520" t="s">
        <v>534</v>
      </c>
      <c r="C24" s="715">
        <v>12228.868987783564</v>
      </c>
      <c r="D24" s="716">
        <v>3163971.6246570731</v>
      </c>
      <c r="E24" s="716">
        <v>60619.858864641101</v>
      </c>
      <c r="F24" s="504"/>
      <c r="G24" s="694">
        <v>36720.299999999996</v>
      </c>
      <c r="H24" s="503">
        <f t="shared" si="0"/>
        <v>3115580.6347802156</v>
      </c>
      <c r="I24" s="997"/>
      <c r="J24" s="725"/>
    </row>
    <row r="25" spans="1:10">
      <c r="A25" s="504">
        <v>19</v>
      </c>
      <c r="B25" s="520" t="s">
        <v>535</v>
      </c>
      <c r="C25" s="715">
        <v>17817.33525707234</v>
      </c>
      <c r="D25" s="716">
        <v>5285664.2480877917</v>
      </c>
      <c r="E25" s="716">
        <v>66665.129092589865</v>
      </c>
      <c r="F25" s="504"/>
      <c r="G25" s="694">
        <v>38077.870000000003</v>
      </c>
      <c r="H25" s="503">
        <f t="shared" si="0"/>
        <v>5236816.4542522738</v>
      </c>
      <c r="I25" s="997"/>
      <c r="J25" s="725"/>
    </row>
    <row r="26" spans="1:10">
      <c r="A26" s="504">
        <v>20</v>
      </c>
      <c r="B26" s="520" t="s">
        <v>536</v>
      </c>
      <c r="C26" s="715">
        <v>19885.770556863212</v>
      </c>
      <c r="D26" s="716">
        <v>15430118.972296894</v>
      </c>
      <c r="E26" s="716">
        <v>155686.25038017731</v>
      </c>
      <c r="F26" s="504"/>
      <c r="G26" s="694">
        <v>21836.760000000006</v>
      </c>
      <c r="H26" s="503">
        <f t="shared" si="0"/>
        <v>15294318.49247358</v>
      </c>
      <c r="I26" s="997"/>
      <c r="J26" s="725"/>
    </row>
    <row r="27" spans="1:10">
      <c r="A27" s="504">
        <v>21</v>
      </c>
      <c r="B27" s="520" t="s">
        <v>537</v>
      </c>
      <c r="C27" s="715">
        <v>29292.667832808365</v>
      </c>
      <c r="D27" s="716">
        <v>1872360.4202060413</v>
      </c>
      <c r="E27" s="716">
        <v>41523.410045210985</v>
      </c>
      <c r="F27" s="504"/>
      <c r="G27" s="694">
        <v>3301.4</v>
      </c>
      <c r="H27" s="503">
        <f t="shared" si="0"/>
        <v>1860129.6779936387</v>
      </c>
      <c r="I27" s="997"/>
      <c r="J27" s="725"/>
    </row>
    <row r="28" spans="1:10">
      <c r="A28" s="504">
        <v>22</v>
      </c>
      <c r="B28" s="520" t="s">
        <v>538</v>
      </c>
      <c r="C28" s="715">
        <v>4160.8652606798896</v>
      </c>
      <c r="D28" s="716">
        <v>773285.93364154501</v>
      </c>
      <c r="E28" s="716">
        <v>12754.660989262464</v>
      </c>
      <c r="F28" s="504"/>
      <c r="G28" s="694">
        <v>844.94</v>
      </c>
      <c r="H28" s="503">
        <f t="shared" si="0"/>
        <v>764692.13791296235</v>
      </c>
      <c r="I28" s="997"/>
      <c r="J28" s="725"/>
    </row>
    <row r="29" spans="1:10">
      <c r="A29" s="504">
        <v>23</v>
      </c>
      <c r="B29" s="520" t="s">
        <v>539</v>
      </c>
      <c r="C29" s="715">
        <v>4406947.4562058719</v>
      </c>
      <c r="D29" s="716">
        <v>454825940.84400892</v>
      </c>
      <c r="E29" s="716">
        <v>10157822.180019967</v>
      </c>
      <c r="F29" s="504"/>
      <c r="G29" s="694">
        <v>5553075.7008050038</v>
      </c>
      <c r="H29" s="503">
        <f t="shared" si="0"/>
        <v>449075066.12019479</v>
      </c>
      <c r="I29" s="997"/>
      <c r="J29" s="725"/>
    </row>
    <row r="30" spans="1:10">
      <c r="A30" s="504">
        <v>24</v>
      </c>
      <c r="B30" s="520" t="s">
        <v>540</v>
      </c>
      <c r="C30" s="715">
        <v>5678188.1346314941</v>
      </c>
      <c r="D30" s="716">
        <v>777076627.89286602</v>
      </c>
      <c r="E30" s="716">
        <v>15397438.190108532</v>
      </c>
      <c r="F30" s="504"/>
      <c r="G30" s="694">
        <v>7601648.30616898</v>
      </c>
      <c r="H30" s="503">
        <f t="shared" si="0"/>
        <v>767357377.83738899</v>
      </c>
      <c r="I30" s="997"/>
      <c r="J30" s="725"/>
    </row>
    <row r="31" spans="1:10">
      <c r="A31" s="504">
        <v>25</v>
      </c>
      <c r="B31" s="520" t="s">
        <v>541</v>
      </c>
      <c r="C31" s="715">
        <v>934134.24674857082</v>
      </c>
      <c r="D31" s="716">
        <v>151189895.66972491</v>
      </c>
      <c r="E31" s="716">
        <v>2600120.1265289355</v>
      </c>
      <c r="F31" s="504"/>
      <c r="G31" s="694">
        <v>2077964.4873050032</v>
      </c>
      <c r="H31" s="503">
        <f t="shared" si="0"/>
        <v>149523909.78994453</v>
      </c>
      <c r="I31" s="997"/>
      <c r="J31" s="725"/>
    </row>
    <row r="32" spans="1:10">
      <c r="A32" s="504">
        <v>26</v>
      </c>
      <c r="B32" s="520" t="s">
        <v>542</v>
      </c>
      <c r="C32" s="766">
        <v>336552.21049427462</v>
      </c>
      <c r="D32" s="716">
        <v>60038418.778400466</v>
      </c>
      <c r="E32" s="716">
        <v>1203871.7087847397</v>
      </c>
      <c r="F32" s="504"/>
      <c r="G32" s="694">
        <v>666936.16999999934</v>
      </c>
      <c r="H32" s="503">
        <f t="shared" si="0"/>
        <v>59171099.280110002</v>
      </c>
      <c r="I32" s="997"/>
      <c r="J32" s="725"/>
    </row>
    <row r="33" spans="1:10">
      <c r="A33" s="504">
        <v>27</v>
      </c>
      <c r="B33" s="504" t="s">
        <v>99</v>
      </c>
      <c r="C33" s="694"/>
      <c r="D33" s="716">
        <v>206392242.83000001</v>
      </c>
      <c r="E33" s="716">
        <v>4199814</v>
      </c>
      <c r="F33" s="504"/>
      <c r="G33" s="716"/>
      <c r="H33" s="503">
        <f t="shared" si="0"/>
        <v>202192428.83000001</v>
      </c>
      <c r="I33" s="997"/>
      <c r="J33" s="725"/>
    </row>
    <row r="34" spans="1:10">
      <c r="A34" s="504">
        <v>28</v>
      </c>
      <c r="B34" s="507" t="s">
        <v>66</v>
      </c>
      <c r="C34" s="672">
        <f>SUM(C7:C33)</f>
        <v>14239066.921126861</v>
      </c>
      <c r="D34" s="677">
        <f>SUM(D7:D33)</f>
        <v>2494583025.0379243</v>
      </c>
      <c r="E34" s="677">
        <f>SUM(E7:E33)</f>
        <v>42815572.243158557</v>
      </c>
      <c r="F34" s="507">
        <f>SUM(F7:F33)</f>
        <v>0</v>
      </c>
      <c r="G34" s="808">
        <f>SUM(G7:G33)</f>
        <v>19725774.825485989</v>
      </c>
      <c r="H34" s="503">
        <f t="shared" si="0"/>
        <v>2466006519.7158928</v>
      </c>
      <c r="I34" s="997"/>
      <c r="J34" s="725"/>
    </row>
    <row r="36" spans="1:10">
      <c r="B36" s="397"/>
      <c r="H36" s="725"/>
    </row>
    <row r="37" spans="1:10">
      <c r="G37" s="725"/>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1"/>
  <sheetViews>
    <sheetView showGridLines="0" zoomScale="90" zoomScaleNormal="90" workbookViewId="0">
      <selection activeCell="C10" sqref="C10"/>
    </sheetView>
  </sheetViews>
  <sheetFormatPr defaultColWidth="9.21875" defaultRowHeight="12"/>
  <cols>
    <col min="1" max="1" width="11.77734375" style="392" bestFit="1" customWidth="1"/>
    <col min="2" max="2" width="108" style="392" bestFit="1" customWidth="1"/>
    <col min="3" max="3" width="35.5546875" style="392" customWidth="1"/>
    <col min="4" max="4" width="38.44140625" style="392" customWidth="1"/>
    <col min="5" max="5" width="16.88671875" style="392" customWidth="1"/>
    <col min="6" max="16384" width="9.21875" style="392"/>
  </cols>
  <sheetData>
    <row r="1" spans="1:6" ht="13.8">
      <c r="A1" s="391" t="s">
        <v>108</v>
      </c>
      <c r="B1" s="310" t="str">
        <f>Info!C2</f>
        <v>კრედო</v>
      </c>
    </row>
    <row r="2" spans="1:6">
      <c r="A2" s="391" t="s">
        <v>109</v>
      </c>
      <c r="B2" s="394">
        <f>'1. key ratios'!B2</f>
        <v>45291</v>
      </c>
    </row>
    <row r="3" spans="1:6">
      <c r="A3" s="393" t="s">
        <v>543</v>
      </c>
    </row>
    <row r="4" spans="1:6">
      <c r="F4" s="794"/>
    </row>
    <row r="5" spans="1:6">
      <c r="A5" s="899" t="s">
        <v>883</v>
      </c>
      <c r="B5" s="899"/>
      <c r="C5" s="528" t="s">
        <v>562</v>
      </c>
      <c r="D5" s="528" t="s">
        <v>882</v>
      </c>
    </row>
    <row r="6" spans="1:6">
      <c r="A6" s="527">
        <v>1</v>
      </c>
      <c r="B6" s="521" t="s">
        <v>881</v>
      </c>
      <c r="C6" s="688">
        <v>41078457</v>
      </c>
      <c r="D6" s="717"/>
      <c r="E6" s="795"/>
      <c r="F6" s="675"/>
    </row>
    <row r="7" spans="1:6">
      <c r="A7" s="524">
        <v>2</v>
      </c>
      <c r="B7" s="521" t="s">
        <v>880</v>
      </c>
      <c r="C7" s="689">
        <f>SUM(C8:C9)</f>
        <v>33141001</v>
      </c>
      <c r="D7" s="798"/>
      <c r="E7" s="796"/>
      <c r="F7" s="675"/>
    </row>
    <row r="8" spans="1:6">
      <c r="A8" s="526">
        <v>2.1</v>
      </c>
      <c r="B8" s="525" t="s">
        <v>879</v>
      </c>
      <c r="C8" s="688">
        <v>4904901</v>
      </c>
      <c r="D8" s="717"/>
      <c r="E8" s="795"/>
      <c r="F8" s="675"/>
    </row>
    <row r="9" spans="1:6">
      <c r="A9" s="526">
        <v>2.2000000000000002</v>
      </c>
      <c r="B9" s="525" t="s">
        <v>878</v>
      </c>
      <c r="C9" s="688">
        <v>28236100</v>
      </c>
      <c r="D9" s="717"/>
      <c r="E9" s="795"/>
      <c r="F9" s="675"/>
    </row>
    <row r="10" spans="1:6">
      <c r="A10" s="527">
        <v>3</v>
      </c>
      <c r="B10" s="521" t="s">
        <v>877</v>
      </c>
      <c r="C10" s="689">
        <f>SUM(C11:C13)</f>
        <v>35644881</v>
      </c>
      <c r="D10" s="798"/>
      <c r="E10" s="797"/>
      <c r="F10" s="675"/>
    </row>
    <row r="11" spans="1:6">
      <c r="A11" s="526">
        <v>3.1</v>
      </c>
      <c r="B11" s="525" t="s">
        <v>544</v>
      </c>
      <c r="C11" s="717">
        <v>19725775</v>
      </c>
      <c r="D11" s="717"/>
      <c r="E11" s="795"/>
      <c r="F11" s="675"/>
    </row>
    <row r="12" spans="1:6">
      <c r="A12" s="526">
        <v>3.2</v>
      </c>
      <c r="B12" s="525" t="s">
        <v>876</v>
      </c>
      <c r="C12" s="717">
        <v>6495516</v>
      </c>
      <c r="D12" s="717"/>
      <c r="E12" s="795"/>
      <c r="F12" s="675"/>
    </row>
    <row r="13" spans="1:6">
      <c r="A13" s="526">
        <v>3.3</v>
      </c>
      <c r="B13" s="525" t="s">
        <v>875</v>
      </c>
      <c r="C13" s="688">
        <v>9423590</v>
      </c>
      <c r="D13" s="717"/>
      <c r="E13" s="795"/>
      <c r="F13" s="675"/>
    </row>
    <row r="14" spans="1:6">
      <c r="A14" s="524">
        <v>4</v>
      </c>
      <c r="B14" s="523" t="s">
        <v>874</v>
      </c>
      <c r="C14" s="688">
        <v>41182</v>
      </c>
      <c r="D14" s="717"/>
      <c r="E14" s="795"/>
      <c r="F14" s="675"/>
    </row>
    <row r="15" spans="1:6">
      <c r="A15" s="522">
        <v>5</v>
      </c>
      <c r="B15" s="521" t="s">
        <v>873</v>
      </c>
      <c r="C15" s="689">
        <f>C6+C7-C10+C14</f>
        <v>38615759</v>
      </c>
      <c r="D15" s="798"/>
      <c r="E15" s="797"/>
      <c r="F15" s="675"/>
    </row>
    <row r="17" spans="3:3">
      <c r="C17" s="674"/>
    </row>
    <row r="18" spans="3:3">
      <c r="C18" s="675"/>
    </row>
    <row r="19" spans="3:3">
      <c r="C19" s="675"/>
    </row>
    <row r="20" spans="3:3">
      <c r="C20" s="675"/>
    </row>
    <row r="21" spans="3:3">
      <c r="C21" s="675"/>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C18"/>
    </sheetView>
  </sheetViews>
  <sheetFormatPr defaultColWidth="9.21875" defaultRowHeight="12"/>
  <cols>
    <col min="1" max="1" width="11.77734375" style="517" bestFit="1" customWidth="1"/>
    <col min="2" max="2" width="128.88671875" style="517" bestFit="1" customWidth="1"/>
    <col min="3" max="3" width="37" style="517" customWidth="1"/>
    <col min="4" max="4" width="50.5546875" style="517" customWidth="1"/>
    <col min="5" max="16384" width="9.21875" style="517"/>
  </cols>
  <sheetData>
    <row r="1" spans="1:4" ht="13.8">
      <c r="A1" s="391" t="s">
        <v>108</v>
      </c>
      <c r="B1" s="310" t="str">
        <f>Info!C2</f>
        <v>კრედო</v>
      </c>
    </row>
    <row r="2" spans="1:4">
      <c r="A2" s="391" t="s">
        <v>109</v>
      </c>
      <c r="B2" s="394">
        <f>'1. key ratios'!B2</f>
        <v>45291</v>
      </c>
    </row>
    <row r="3" spans="1:4">
      <c r="A3" s="393" t="s">
        <v>545</v>
      </c>
    </row>
    <row r="4" spans="1:4">
      <c r="A4" s="393"/>
    </row>
    <row r="5" spans="1:4" ht="15" customHeight="1">
      <c r="A5" s="900" t="s">
        <v>546</v>
      </c>
      <c r="B5" s="901"/>
      <c r="C5" s="904" t="s">
        <v>547</v>
      </c>
      <c r="D5" s="904" t="s">
        <v>548</v>
      </c>
    </row>
    <row r="6" spans="1:4">
      <c r="A6" s="902"/>
      <c r="B6" s="903"/>
      <c r="C6" s="904"/>
      <c r="D6" s="904"/>
    </row>
    <row r="7" spans="1:4">
      <c r="A7" s="507">
        <v>1</v>
      </c>
      <c r="B7" s="507" t="s">
        <v>549</v>
      </c>
      <c r="C7" s="673">
        <v>14219511.189506028</v>
      </c>
      <c r="D7" s="529"/>
    </row>
    <row r="8" spans="1:4">
      <c r="A8" s="504">
        <v>2</v>
      </c>
      <c r="B8" s="504" t="s">
        <v>550</v>
      </c>
      <c r="C8" s="673">
        <v>21409751.040351901</v>
      </c>
      <c r="D8" s="529"/>
    </row>
    <row r="9" spans="1:4">
      <c r="A9" s="504">
        <v>3</v>
      </c>
      <c r="B9" s="532" t="s">
        <v>551</v>
      </c>
      <c r="C9" s="673">
        <v>27847.82</v>
      </c>
      <c r="D9" s="529"/>
    </row>
    <row r="10" spans="1:4">
      <c r="A10" s="504">
        <v>4</v>
      </c>
      <c r="B10" s="504" t="s">
        <v>552</v>
      </c>
      <c r="C10" s="672">
        <f>SUM(C11:C17)</f>
        <v>21418042.905486047</v>
      </c>
      <c r="D10" s="529"/>
    </row>
    <row r="11" spans="1:4">
      <c r="A11" s="504">
        <v>5</v>
      </c>
      <c r="B11" s="531" t="s">
        <v>884</v>
      </c>
      <c r="C11" s="673"/>
      <c r="D11" s="529"/>
    </row>
    <row r="12" spans="1:4">
      <c r="A12" s="504">
        <v>6</v>
      </c>
      <c r="B12" s="531" t="s">
        <v>553</v>
      </c>
      <c r="C12" s="694">
        <v>1676353</v>
      </c>
      <c r="D12" s="529"/>
    </row>
    <row r="13" spans="1:4">
      <c r="A13" s="504">
        <v>7</v>
      </c>
      <c r="B13" s="531" t="s">
        <v>556</v>
      </c>
      <c r="C13" s="694">
        <v>19725774.905486047</v>
      </c>
      <c r="D13" s="529"/>
    </row>
    <row r="14" spans="1:4">
      <c r="A14" s="504">
        <v>8</v>
      </c>
      <c r="B14" s="531" t="s">
        <v>554</v>
      </c>
      <c r="C14" s="673"/>
      <c r="D14" s="504"/>
    </row>
    <row r="15" spans="1:4">
      <c r="A15" s="504">
        <v>9</v>
      </c>
      <c r="B15" s="531" t="s">
        <v>555</v>
      </c>
      <c r="C15" s="673"/>
      <c r="D15" s="504"/>
    </row>
    <row r="16" spans="1:4">
      <c r="A16" s="504">
        <v>10</v>
      </c>
      <c r="B16" s="531" t="s">
        <v>557</v>
      </c>
      <c r="C16" s="673"/>
      <c r="D16" s="504"/>
    </row>
    <row r="17" spans="1:4">
      <c r="A17" s="504">
        <v>11</v>
      </c>
      <c r="B17" s="531" t="s">
        <v>558</v>
      </c>
      <c r="C17" s="673">
        <v>15915</v>
      </c>
      <c r="D17" s="529"/>
    </row>
    <row r="18" spans="1:4">
      <c r="A18" s="507">
        <v>12</v>
      </c>
      <c r="B18" s="530" t="s">
        <v>559</v>
      </c>
      <c r="C18" s="672">
        <f>C7+C8+C9-C10</f>
        <v>14239067.144371882</v>
      </c>
      <c r="D18" s="529"/>
    </row>
    <row r="21" spans="1:4">
      <c r="B21" s="391"/>
      <c r="C21" s="784"/>
    </row>
    <row r="22" spans="1:4">
      <c r="B22" s="391"/>
    </row>
    <row r="23" spans="1:4">
      <c r="B23" s="393"/>
    </row>
    <row r="24" spans="1:4">
      <c r="C24" s="78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90" zoomScaleNormal="90" workbookViewId="0">
      <selection activeCell="E8" sqref="E8:AA21"/>
    </sheetView>
  </sheetViews>
  <sheetFormatPr defaultColWidth="9.21875" defaultRowHeight="12"/>
  <cols>
    <col min="1" max="1" width="11.77734375" style="517" bestFit="1" customWidth="1"/>
    <col min="2" max="2" width="63.88671875" style="517" customWidth="1"/>
    <col min="3" max="3" width="15.5546875" style="517" customWidth="1"/>
    <col min="4" max="18" width="22.21875" style="517" customWidth="1"/>
    <col min="19" max="19" width="23.21875" style="517" bestFit="1" customWidth="1"/>
    <col min="20" max="26" width="22.21875" style="517" customWidth="1"/>
    <col min="27" max="27" width="23.21875" style="517" bestFit="1" customWidth="1"/>
    <col min="28" max="28" width="20" style="517" customWidth="1"/>
    <col min="29" max="16384" width="9.21875" style="517"/>
  </cols>
  <sheetData>
    <row r="1" spans="1:28" ht="13.8">
      <c r="A1" s="391" t="s">
        <v>108</v>
      </c>
      <c r="B1" s="310" t="str">
        <f>Info!C2</f>
        <v>კრედო</v>
      </c>
    </row>
    <row r="2" spans="1:28">
      <c r="A2" s="391" t="s">
        <v>109</v>
      </c>
      <c r="B2" s="394">
        <f>'1. key ratios'!B2</f>
        <v>45291</v>
      </c>
      <c r="C2" s="518"/>
    </row>
    <row r="3" spans="1:28">
      <c r="A3" s="393" t="s">
        <v>560</v>
      </c>
    </row>
    <row r="5" spans="1:28" ht="15" customHeight="1">
      <c r="A5" s="905" t="s">
        <v>897</v>
      </c>
      <c r="B5" s="906"/>
      <c r="C5" s="897" t="s">
        <v>896</v>
      </c>
      <c r="D5" s="911"/>
      <c r="E5" s="911"/>
      <c r="F5" s="911"/>
      <c r="G5" s="911"/>
      <c r="H5" s="911"/>
      <c r="I5" s="911"/>
      <c r="J5" s="911"/>
      <c r="K5" s="911"/>
      <c r="L5" s="911"/>
      <c r="M5" s="911"/>
      <c r="N5" s="911"/>
      <c r="O5" s="911"/>
      <c r="P5" s="911"/>
      <c r="Q5" s="911"/>
      <c r="R5" s="911"/>
      <c r="S5" s="911"/>
      <c r="T5" s="543"/>
      <c r="U5" s="543"/>
      <c r="V5" s="543"/>
      <c r="W5" s="543"/>
      <c r="X5" s="543"/>
      <c r="Y5" s="543"/>
      <c r="Z5" s="543"/>
      <c r="AA5" s="542"/>
      <c r="AB5" s="535"/>
    </row>
    <row r="6" spans="1:28">
      <c r="A6" s="907"/>
      <c r="B6" s="908"/>
      <c r="C6" s="912" t="s">
        <v>66</v>
      </c>
      <c r="D6" s="914" t="s">
        <v>895</v>
      </c>
      <c r="E6" s="914"/>
      <c r="F6" s="914"/>
      <c r="G6" s="914"/>
      <c r="H6" s="915" t="s">
        <v>894</v>
      </c>
      <c r="I6" s="916"/>
      <c r="J6" s="916"/>
      <c r="K6" s="917"/>
      <c r="L6" s="540"/>
      <c r="M6" s="918" t="s">
        <v>893</v>
      </c>
      <c r="N6" s="918"/>
      <c r="O6" s="918"/>
      <c r="P6" s="918"/>
      <c r="Q6" s="918"/>
      <c r="R6" s="918"/>
      <c r="S6" s="895"/>
      <c r="T6" s="541"/>
      <c r="U6" s="898" t="s">
        <v>892</v>
      </c>
      <c r="V6" s="898"/>
      <c r="W6" s="898"/>
      <c r="X6" s="898"/>
      <c r="Y6" s="898"/>
      <c r="Z6" s="898"/>
      <c r="AA6" s="896"/>
      <c r="AB6" s="540"/>
    </row>
    <row r="7" spans="1:28" ht="24">
      <c r="A7" s="909"/>
      <c r="B7" s="910"/>
      <c r="C7" s="913"/>
      <c r="D7" s="539"/>
      <c r="E7" s="514" t="s">
        <v>561</v>
      </c>
      <c r="F7" s="514" t="s">
        <v>890</v>
      </c>
      <c r="G7" s="514" t="s">
        <v>891</v>
      </c>
      <c r="H7" s="538"/>
      <c r="I7" s="514" t="s">
        <v>561</v>
      </c>
      <c r="J7" s="514" t="s">
        <v>890</v>
      </c>
      <c r="K7" s="514" t="s">
        <v>891</v>
      </c>
      <c r="L7" s="537"/>
      <c r="M7" s="514" t="s">
        <v>561</v>
      </c>
      <c r="N7" s="514" t="s">
        <v>890</v>
      </c>
      <c r="O7" s="514" t="s">
        <v>889</v>
      </c>
      <c r="P7" s="514" t="s">
        <v>888</v>
      </c>
      <c r="Q7" s="514" t="s">
        <v>887</v>
      </c>
      <c r="R7" s="514" t="s">
        <v>886</v>
      </c>
      <c r="S7" s="514" t="s">
        <v>885</v>
      </c>
      <c r="T7" s="536"/>
      <c r="U7" s="514" t="s">
        <v>561</v>
      </c>
      <c r="V7" s="514" t="s">
        <v>890</v>
      </c>
      <c r="W7" s="514" t="s">
        <v>889</v>
      </c>
      <c r="X7" s="514" t="s">
        <v>888</v>
      </c>
      <c r="Y7" s="514" t="s">
        <v>887</v>
      </c>
      <c r="Z7" s="514" t="s">
        <v>886</v>
      </c>
      <c r="AA7" s="514" t="s">
        <v>885</v>
      </c>
      <c r="AB7" s="535"/>
    </row>
    <row r="8" spans="1:28">
      <c r="A8" s="534">
        <v>1</v>
      </c>
      <c r="B8" s="507" t="s">
        <v>562</v>
      </c>
      <c r="C8" s="672">
        <f>SUM(C9:C14)</f>
        <v>2023761810.5290344</v>
      </c>
      <c r="D8" s="672">
        <f t="shared" ref="D8:AA8" si="0">SUM(D9:D14)</f>
        <v>1934597313.9320912</v>
      </c>
      <c r="E8" s="672">
        <f t="shared" si="0"/>
        <v>6794973.487813469</v>
      </c>
      <c r="F8" s="672">
        <f t="shared" si="0"/>
        <v>0</v>
      </c>
      <c r="G8" s="672">
        <f t="shared" si="0"/>
        <v>0</v>
      </c>
      <c r="H8" s="672">
        <f t="shared" si="0"/>
        <v>74925429.675816193</v>
      </c>
      <c r="I8" s="672">
        <f t="shared" si="0"/>
        <v>1028174.37548932</v>
      </c>
      <c r="J8" s="672">
        <f t="shared" si="0"/>
        <v>10603985.395880291</v>
      </c>
      <c r="K8" s="672">
        <f t="shared" si="0"/>
        <v>0</v>
      </c>
      <c r="L8" s="672">
        <f t="shared" si="0"/>
        <v>14048225.901126822</v>
      </c>
      <c r="M8" s="672">
        <f t="shared" si="0"/>
        <v>14599.091775027431</v>
      </c>
      <c r="N8" s="672">
        <f t="shared" si="0"/>
        <v>123761.99020198151</v>
      </c>
      <c r="O8" s="672">
        <f t="shared" si="0"/>
        <v>13096628.230406828</v>
      </c>
      <c r="P8" s="672">
        <f t="shared" si="0"/>
        <v>0</v>
      </c>
      <c r="Q8" s="672">
        <f t="shared" si="0"/>
        <v>0</v>
      </c>
      <c r="R8" s="672">
        <f t="shared" si="0"/>
        <v>0</v>
      </c>
      <c r="S8" s="672">
        <f t="shared" si="0"/>
        <v>0</v>
      </c>
      <c r="T8" s="672">
        <f t="shared" si="0"/>
        <v>190841.02000000005</v>
      </c>
      <c r="U8" s="672">
        <f t="shared" si="0"/>
        <v>2368.9700000000003</v>
      </c>
      <c r="V8" s="672">
        <f t="shared" si="0"/>
        <v>0</v>
      </c>
      <c r="W8" s="672">
        <f t="shared" si="0"/>
        <v>0</v>
      </c>
      <c r="X8" s="672">
        <f t="shared" si="0"/>
        <v>0</v>
      </c>
      <c r="Y8" s="672">
        <f t="shared" si="0"/>
        <v>0</v>
      </c>
      <c r="Z8" s="672">
        <f t="shared" si="0"/>
        <v>0</v>
      </c>
      <c r="AA8" s="672">
        <f t="shared" si="0"/>
        <v>0</v>
      </c>
    </row>
    <row r="9" spans="1:28">
      <c r="A9" s="504">
        <v>1.1000000000000001</v>
      </c>
      <c r="B9" s="524" t="s">
        <v>563</v>
      </c>
      <c r="C9" s="524"/>
      <c r="D9" s="504"/>
      <c r="E9" s="504"/>
      <c r="F9" s="504"/>
      <c r="G9" s="504"/>
      <c r="H9" s="504"/>
      <c r="I9" s="504"/>
      <c r="J9" s="504"/>
      <c r="K9" s="504"/>
      <c r="L9" s="504"/>
      <c r="M9" s="504"/>
      <c r="N9" s="504"/>
      <c r="O9" s="504"/>
      <c r="P9" s="504"/>
      <c r="Q9" s="504"/>
      <c r="R9" s="504"/>
      <c r="S9" s="504"/>
      <c r="T9" s="504"/>
      <c r="U9" s="504"/>
      <c r="V9" s="504"/>
      <c r="W9" s="504"/>
      <c r="X9" s="504"/>
      <c r="Y9" s="504"/>
      <c r="Z9" s="504"/>
      <c r="AA9" s="504"/>
    </row>
    <row r="10" spans="1:28">
      <c r="A10" s="504">
        <v>1.2</v>
      </c>
      <c r="B10" s="524" t="s">
        <v>564</v>
      </c>
      <c r="C10" s="52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row>
    <row r="11" spans="1:28">
      <c r="A11" s="504">
        <v>1.3</v>
      </c>
      <c r="B11" s="524" t="s">
        <v>565</v>
      </c>
      <c r="C11" s="52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row>
    <row r="12" spans="1:28">
      <c r="A12" s="504">
        <v>1.4</v>
      </c>
      <c r="B12" s="524" t="s">
        <v>566</v>
      </c>
      <c r="C12" s="524"/>
      <c r="D12" s="673"/>
      <c r="E12" s="504"/>
      <c r="F12" s="504"/>
      <c r="G12" s="504"/>
      <c r="H12" s="504"/>
      <c r="I12" s="504"/>
      <c r="J12" s="504"/>
      <c r="K12" s="504"/>
      <c r="L12" s="504"/>
      <c r="M12" s="504"/>
      <c r="N12" s="504"/>
      <c r="O12" s="504"/>
      <c r="P12" s="504"/>
      <c r="Q12" s="504"/>
      <c r="R12" s="504"/>
      <c r="S12" s="504"/>
      <c r="T12" s="504"/>
      <c r="U12" s="504"/>
      <c r="V12" s="504"/>
      <c r="W12" s="504"/>
      <c r="X12" s="504"/>
      <c r="Y12" s="504"/>
      <c r="Z12" s="504"/>
      <c r="AA12" s="504"/>
    </row>
    <row r="13" spans="1:28">
      <c r="A13" s="504">
        <v>1.5</v>
      </c>
      <c r="B13" s="524" t="s">
        <v>567</v>
      </c>
      <c r="C13" s="678">
        <f>D13+H13+L13+T13</f>
        <v>106417550.92894943</v>
      </c>
      <c r="D13" s="673">
        <v>103907559.53107648</v>
      </c>
      <c r="E13" s="673"/>
      <c r="F13" s="504"/>
      <c r="G13" s="504"/>
      <c r="H13" s="673">
        <v>2422062.2649304774</v>
      </c>
      <c r="I13" s="673"/>
      <c r="J13" s="673">
        <v>1097865.4953357852</v>
      </c>
      <c r="K13" s="673"/>
      <c r="L13" s="673">
        <v>86013.042942472297</v>
      </c>
      <c r="M13" s="504"/>
      <c r="N13" s="504"/>
      <c r="O13" s="673">
        <v>86013.042942472297</v>
      </c>
      <c r="P13" s="504"/>
      <c r="Q13" s="504"/>
      <c r="R13" s="504"/>
      <c r="S13" s="504"/>
      <c r="T13" s="673">
        <v>1916.09</v>
      </c>
      <c r="U13" s="673"/>
      <c r="V13" s="673"/>
      <c r="W13" s="504"/>
      <c r="X13" s="504"/>
      <c r="Y13" s="504"/>
      <c r="Z13" s="504"/>
      <c r="AA13" s="504"/>
    </row>
    <row r="14" spans="1:28">
      <c r="A14" s="504">
        <v>1.6</v>
      </c>
      <c r="B14" s="524" t="s">
        <v>568</v>
      </c>
      <c r="C14" s="678">
        <f>D14+H14+L14+T14</f>
        <v>1917344259.600085</v>
      </c>
      <c r="D14" s="673">
        <v>1830689754.4010148</v>
      </c>
      <c r="E14" s="673">
        <v>6794973.487813469</v>
      </c>
      <c r="F14" s="504"/>
      <c r="G14" s="504"/>
      <c r="H14" s="673">
        <v>72503367.410885721</v>
      </c>
      <c r="I14" s="673">
        <v>1028174.37548932</v>
      </c>
      <c r="J14" s="673">
        <v>9506119.9005445056</v>
      </c>
      <c r="K14" s="673"/>
      <c r="L14" s="673">
        <v>13962212.858184351</v>
      </c>
      <c r="M14" s="673">
        <v>14599.091775027431</v>
      </c>
      <c r="N14" s="694">
        <v>123761.99020198151</v>
      </c>
      <c r="O14" s="694">
        <v>13010615.187464356</v>
      </c>
      <c r="P14" s="694"/>
      <c r="Q14" s="504"/>
      <c r="R14" s="504"/>
      <c r="S14" s="504"/>
      <c r="T14" s="673">
        <v>188924.93000000005</v>
      </c>
      <c r="U14" s="673">
        <v>2368.9700000000003</v>
      </c>
      <c r="V14" s="673"/>
      <c r="W14" s="504"/>
      <c r="X14" s="695"/>
      <c r="Y14" s="504"/>
      <c r="Z14" s="504"/>
      <c r="AA14" s="504"/>
    </row>
    <row r="15" spans="1:28">
      <c r="A15" s="534">
        <v>2</v>
      </c>
      <c r="B15" s="507" t="s">
        <v>569</v>
      </c>
      <c r="C15" s="681">
        <f t="shared" ref="C15:C20" si="1">D15+H15+L15+T15</f>
        <v>48888517.489999995</v>
      </c>
      <c r="D15" s="680">
        <f>SUM(D16:D21)</f>
        <v>48888517.489999995</v>
      </c>
      <c r="E15" s="680">
        <f t="shared" ref="E15:AA15" si="2">SUM(E16:E21)</f>
        <v>0</v>
      </c>
      <c r="F15" s="680">
        <f t="shared" si="2"/>
        <v>0</v>
      </c>
      <c r="G15" s="680">
        <f t="shared" si="2"/>
        <v>0</v>
      </c>
      <c r="H15" s="680">
        <f t="shared" si="2"/>
        <v>0</v>
      </c>
      <c r="I15" s="680">
        <f t="shared" si="2"/>
        <v>0</v>
      </c>
      <c r="J15" s="680">
        <f t="shared" si="2"/>
        <v>0</v>
      </c>
      <c r="K15" s="680">
        <f t="shared" si="2"/>
        <v>0</v>
      </c>
      <c r="L15" s="680">
        <f t="shared" si="2"/>
        <v>0</v>
      </c>
      <c r="M15" s="680">
        <f t="shared" si="2"/>
        <v>0</v>
      </c>
      <c r="N15" s="680">
        <f t="shared" si="2"/>
        <v>0</v>
      </c>
      <c r="O15" s="680">
        <f t="shared" si="2"/>
        <v>0</v>
      </c>
      <c r="P15" s="680">
        <f t="shared" si="2"/>
        <v>0</v>
      </c>
      <c r="Q15" s="680">
        <f t="shared" si="2"/>
        <v>0</v>
      </c>
      <c r="R15" s="680">
        <f t="shared" si="2"/>
        <v>0</v>
      </c>
      <c r="S15" s="680">
        <f t="shared" si="2"/>
        <v>0</v>
      </c>
      <c r="T15" s="680">
        <f t="shared" si="2"/>
        <v>0</v>
      </c>
      <c r="U15" s="680">
        <f t="shared" si="2"/>
        <v>0</v>
      </c>
      <c r="V15" s="680">
        <f t="shared" si="2"/>
        <v>0</v>
      </c>
      <c r="W15" s="680">
        <f t="shared" si="2"/>
        <v>0</v>
      </c>
      <c r="X15" s="680">
        <f t="shared" si="2"/>
        <v>0</v>
      </c>
      <c r="Y15" s="680">
        <f t="shared" si="2"/>
        <v>0</v>
      </c>
      <c r="Z15" s="680">
        <f t="shared" si="2"/>
        <v>0</v>
      </c>
      <c r="AA15" s="680">
        <f t="shared" si="2"/>
        <v>0</v>
      </c>
    </row>
    <row r="16" spans="1:28">
      <c r="A16" s="504">
        <v>2.1</v>
      </c>
      <c r="B16" s="524" t="s">
        <v>563</v>
      </c>
      <c r="C16" s="678">
        <f t="shared" si="1"/>
        <v>0</v>
      </c>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row>
    <row r="17" spans="1:27">
      <c r="A17" s="504">
        <v>2.2000000000000002</v>
      </c>
      <c r="B17" s="524" t="s">
        <v>564</v>
      </c>
      <c r="C17" s="678">
        <f t="shared" si="1"/>
        <v>22752192</v>
      </c>
      <c r="D17" s="673">
        <v>22752192</v>
      </c>
      <c r="E17" s="673"/>
      <c r="F17" s="673"/>
      <c r="G17" s="673"/>
      <c r="H17" s="673"/>
      <c r="I17" s="673"/>
      <c r="J17" s="673"/>
      <c r="K17" s="673"/>
      <c r="L17" s="673"/>
      <c r="M17" s="673"/>
      <c r="N17" s="673"/>
      <c r="O17" s="673"/>
      <c r="P17" s="673"/>
      <c r="Q17" s="673"/>
      <c r="R17" s="673"/>
      <c r="S17" s="673"/>
      <c r="T17" s="673"/>
      <c r="U17" s="673"/>
      <c r="V17" s="673"/>
      <c r="W17" s="673"/>
      <c r="X17" s="673"/>
      <c r="Y17" s="673"/>
      <c r="Z17" s="673"/>
      <c r="AA17" s="673"/>
    </row>
    <row r="18" spans="1:27">
      <c r="A18" s="504">
        <v>2.2999999999999998</v>
      </c>
      <c r="B18" s="524" t="s">
        <v>565</v>
      </c>
      <c r="C18" s="678">
        <f t="shared" si="1"/>
        <v>26136325.489999998</v>
      </c>
      <c r="D18" s="673">
        <v>26136325.489999998</v>
      </c>
      <c r="E18" s="673"/>
      <c r="F18" s="673"/>
      <c r="G18" s="673"/>
      <c r="H18" s="673"/>
      <c r="I18" s="673"/>
      <c r="J18" s="673"/>
      <c r="K18" s="673"/>
      <c r="L18" s="673"/>
      <c r="M18" s="673"/>
      <c r="N18" s="673"/>
      <c r="O18" s="673"/>
      <c r="P18" s="673"/>
      <c r="Q18" s="673"/>
      <c r="R18" s="673"/>
      <c r="S18" s="673"/>
      <c r="T18" s="673"/>
      <c r="U18" s="673"/>
      <c r="V18" s="673"/>
      <c r="W18" s="673"/>
      <c r="X18" s="673"/>
      <c r="Y18" s="673"/>
      <c r="Z18" s="673"/>
      <c r="AA18" s="673"/>
    </row>
    <row r="19" spans="1:27">
      <c r="A19" s="504">
        <v>2.4</v>
      </c>
      <c r="B19" s="524" t="s">
        <v>566</v>
      </c>
      <c r="C19" s="678">
        <f t="shared" si="1"/>
        <v>0</v>
      </c>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row>
    <row r="20" spans="1:27">
      <c r="A20" s="504">
        <v>2.5</v>
      </c>
      <c r="B20" s="524" t="s">
        <v>567</v>
      </c>
      <c r="C20" s="678">
        <f t="shared" si="1"/>
        <v>0</v>
      </c>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row>
    <row r="21" spans="1:27">
      <c r="A21" s="504">
        <v>2.6</v>
      </c>
      <c r="B21" s="524" t="s">
        <v>568</v>
      </c>
      <c r="C21" s="678">
        <f>D21+H21+L21+T21</f>
        <v>0</v>
      </c>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row>
    <row r="22" spans="1:27">
      <c r="A22" s="534">
        <v>3</v>
      </c>
      <c r="B22" s="507" t="s">
        <v>570</v>
      </c>
      <c r="C22" s="672">
        <f>C27+C28</f>
        <v>56199564</v>
      </c>
      <c r="D22" s="672"/>
      <c r="E22" s="533"/>
      <c r="F22" s="533"/>
      <c r="G22" s="533"/>
      <c r="H22" s="507"/>
      <c r="I22" s="533"/>
      <c r="J22" s="533"/>
      <c r="K22" s="533"/>
      <c r="L22" s="507"/>
      <c r="M22" s="533"/>
      <c r="N22" s="533"/>
      <c r="O22" s="533"/>
      <c r="P22" s="533"/>
      <c r="Q22" s="533"/>
      <c r="R22" s="533"/>
      <c r="S22" s="533"/>
      <c r="T22" s="507"/>
      <c r="U22" s="533"/>
      <c r="V22" s="533"/>
      <c r="W22" s="533"/>
      <c r="X22" s="533"/>
      <c r="Y22" s="533"/>
      <c r="Z22" s="533"/>
      <c r="AA22" s="533"/>
    </row>
    <row r="23" spans="1:27">
      <c r="A23" s="504">
        <v>3.1</v>
      </c>
      <c r="B23" s="524" t="s">
        <v>563</v>
      </c>
      <c r="C23" s="679"/>
      <c r="D23" s="672"/>
      <c r="E23" s="533"/>
      <c r="F23" s="533"/>
      <c r="G23" s="533"/>
      <c r="H23" s="507"/>
      <c r="I23" s="533"/>
      <c r="J23" s="533"/>
      <c r="K23" s="533"/>
      <c r="L23" s="507"/>
      <c r="M23" s="533"/>
      <c r="N23" s="533"/>
      <c r="O23" s="533"/>
      <c r="P23" s="533"/>
      <c r="Q23" s="533"/>
      <c r="R23" s="533"/>
      <c r="S23" s="533"/>
      <c r="T23" s="507"/>
      <c r="U23" s="533"/>
      <c r="V23" s="533"/>
      <c r="W23" s="533"/>
      <c r="X23" s="533"/>
      <c r="Y23" s="533"/>
      <c r="Z23" s="533"/>
      <c r="AA23" s="533"/>
    </row>
    <row r="24" spans="1:27">
      <c r="A24" s="504">
        <v>3.2</v>
      </c>
      <c r="B24" s="524" t="s">
        <v>564</v>
      </c>
      <c r="C24" s="679"/>
      <c r="D24" s="672"/>
      <c r="E24" s="533"/>
      <c r="F24" s="533"/>
      <c r="G24" s="533"/>
      <c r="H24" s="507"/>
      <c r="I24" s="533"/>
      <c r="J24" s="533"/>
      <c r="K24" s="533"/>
      <c r="L24" s="507"/>
      <c r="M24" s="533"/>
      <c r="N24" s="533"/>
      <c r="O24" s="533"/>
      <c r="P24" s="533"/>
      <c r="Q24" s="533"/>
      <c r="R24" s="533"/>
      <c r="S24" s="533"/>
      <c r="T24" s="507"/>
      <c r="U24" s="533"/>
      <c r="V24" s="533"/>
      <c r="W24" s="533"/>
      <c r="X24" s="533"/>
      <c r="Y24" s="533"/>
      <c r="Z24" s="533"/>
      <c r="AA24" s="533"/>
    </row>
    <row r="25" spans="1:27">
      <c r="A25" s="504">
        <v>3.3</v>
      </c>
      <c r="B25" s="524" t="s">
        <v>565</v>
      </c>
      <c r="C25" s="679"/>
      <c r="D25" s="672"/>
      <c r="E25" s="533"/>
      <c r="F25" s="533"/>
      <c r="G25" s="533"/>
      <c r="H25" s="507"/>
      <c r="I25" s="533"/>
      <c r="J25" s="533"/>
      <c r="K25" s="533"/>
      <c r="L25" s="507"/>
      <c r="M25" s="533"/>
      <c r="N25" s="533"/>
      <c r="O25" s="533"/>
      <c r="P25" s="533"/>
      <c r="Q25" s="533"/>
      <c r="R25" s="533"/>
      <c r="S25" s="533"/>
      <c r="T25" s="507"/>
      <c r="U25" s="533"/>
      <c r="V25" s="533"/>
      <c r="W25" s="533"/>
      <c r="X25" s="533"/>
      <c r="Y25" s="533"/>
      <c r="Z25" s="533"/>
      <c r="AA25" s="533"/>
    </row>
    <row r="26" spans="1:27">
      <c r="A26" s="504">
        <v>3.4</v>
      </c>
      <c r="B26" s="524" t="s">
        <v>566</v>
      </c>
      <c r="C26" s="679"/>
      <c r="D26" s="672"/>
      <c r="E26" s="533"/>
      <c r="F26" s="533"/>
      <c r="G26" s="533"/>
      <c r="H26" s="507"/>
      <c r="I26" s="533"/>
      <c r="J26" s="533"/>
      <c r="K26" s="533"/>
      <c r="L26" s="507"/>
      <c r="M26" s="533"/>
      <c r="N26" s="533"/>
      <c r="O26" s="533"/>
      <c r="P26" s="533"/>
      <c r="Q26" s="533"/>
      <c r="R26" s="533"/>
      <c r="S26" s="533"/>
      <c r="T26" s="507"/>
      <c r="U26" s="533"/>
      <c r="V26" s="533"/>
      <c r="W26" s="533"/>
      <c r="X26" s="533"/>
      <c r="Y26" s="533"/>
      <c r="Z26" s="533"/>
      <c r="AA26" s="533"/>
    </row>
    <row r="27" spans="1:27">
      <c r="A27" s="504">
        <v>3.5</v>
      </c>
      <c r="B27" s="524" t="s">
        <v>567</v>
      </c>
      <c r="C27" s="682">
        <f>D27</f>
        <v>3118400</v>
      </c>
      <c r="D27" s="673">
        <v>3118400</v>
      </c>
      <c r="E27" s="533"/>
      <c r="F27" s="533"/>
      <c r="G27" s="533"/>
      <c r="H27" s="507"/>
      <c r="I27" s="533"/>
      <c r="J27" s="533"/>
      <c r="K27" s="533"/>
      <c r="L27" s="507"/>
      <c r="M27" s="533"/>
      <c r="N27" s="533"/>
      <c r="O27" s="533"/>
      <c r="P27" s="533"/>
      <c r="Q27" s="533"/>
      <c r="R27" s="533"/>
      <c r="S27" s="533"/>
      <c r="T27" s="507"/>
      <c r="U27" s="533"/>
      <c r="V27" s="533"/>
      <c r="W27" s="533"/>
      <c r="X27" s="533"/>
      <c r="Y27" s="533"/>
      <c r="Z27" s="533"/>
      <c r="AA27" s="533"/>
    </row>
    <row r="28" spans="1:27">
      <c r="A28" s="504">
        <v>3.6</v>
      </c>
      <c r="B28" s="524" t="s">
        <v>568</v>
      </c>
      <c r="C28" s="682">
        <v>53081164</v>
      </c>
      <c r="D28" s="672"/>
      <c r="E28" s="533"/>
      <c r="F28" s="533"/>
      <c r="G28" s="533"/>
      <c r="H28" s="507"/>
      <c r="I28" s="533"/>
      <c r="J28" s="533"/>
      <c r="K28" s="533"/>
      <c r="L28" s="507"/>
      <c r="M28" s="533"/>
      <c r="N28" s="533"/>
      <c r="O28" s="533"/>
      <c r="P28" s="533"/>
      <c r="Q28" s="533"/>
      <c r="R28" s="533"/>
      <c r="S28" s="533"/>
      <c r="T28" s="507"/>
      <c r="U28" s="533"/>
      <c r="V28" s="533"/>
      <c r="W28" s="533"/>
      <c r="X28" s="533"/>
      <c r="Y28" s="533"/>
      <c r="Z28" s="533"/>
      <c r="AA28" s="53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90" zoomScaleNormal="90" workbookViewId="0">
      <selection activeCell="C8" sqref="C8:AA22"/>
    </sheetView>
  </sheetViews>
  <sheetFormatPr defaultColWidth="9.21875" defaultRowHeight="12"/>
  <cols>
    <col min="1" max="1" width="11.77734375" style="517" bestFit="1" customWidth="1"/>
    <col min="2" max="2" width="90.21875" style="517" bestFit="1" customWidth="1"/>
    <col min="3" max="3" width="20.21875" style="517" customWidth="1"/>
    <col min="4" max="4" width="22.21875" style="517" customWidth="1"/>
    <col min="5" max="7" width="17.109375" style="517" customWidth="1"/>
    <col min="8" max="8" width="22.21875" style="517" customWidth="1"/>
    <col min="9" max="10" width="17.109375" style="517" customWidth="1"/>
    <col min="11" max="27" width="22.21875" style="517" customWidth="1"/>
    <col min="28" max="16384" width="9.21875" style="517"/>
  </cols>
  <sheetData>
    <row r="1" spans="1:27" ht="13.8">
      <c r="A1" s="391" t="s">
        <v>108</v>
      </c>
      <c r="B1" s="310" t="str">
        <f>Info!C2</f>
        <v>კრედო</v>
      </c>
    </row>
    <row r="2" spans="1:27">
      <c r="A2" s="391" t="s">
        <v>109</v>
      </c>
      <c r="B2" s="394">
        <f>'1. key ratios'!B2</f>
        <v>45291</v>
      </c>
    </row>
    <row r="3" spans="1:27">
      <c r="A3" s="393" t="s">
        <v>571</v>
      </c>
      <c r="C3" s="519"/>
    </row>
    <row r="4" spans="1:27" ht="12.6" thickBot="1">
      <c r="A4" s="393"/>
      <c r="B4" s="519"/>
      <c r="C4" s="519"/>
    </row>
    <row r="5" spans="1:27" ht="13.5" customHeight="1">
      <c r="A5" s="923" t="s">
        <v>904</v>
      </c>
      <c r="B5" s="924"/>
      <c r="C5" s="920" t="s">
        <v>572</v>
      </c>
      <c r="D5" s="921"/>
      <c r="E5" s="921"/>
      <c r="F5" s="921"/>
      <c r="G5" s="921"/>
      <c r="H5" s="921"/>
      <c r="I5" s="921"/>
      <c r="J5" s="921"/>
      <c r="K5" s="921"/>
      <c r="L5" s="921"/>
      <c r="M5" s="921"/>
      <c r="N5" s="921"/>
      <c r="O5" s="921"/>
      <c r="P5" s="921"/>
      <c r="Q5" s="921"/>
      <c r="R5" s="921"/>
      <c r="S5" s="921"/>
      <c r="T5" s="921"/>
      <c r="U5" s="921"/>
      <c r="V5" s="921"/>
      <c r="W5" s="921"/>
      <c r="X5" s="921"/>
      <c r="Y5" s="921"/>
      <c r="Z5" s="921"/>
      <c r="AA5" s="922"/>
    </row>
    <row r="6" spans="1:27" ht="12" customHeight="1">
      <c r="A6" s="925"/>
      <c r="B6" s="926"/>
      <c r="C6" s="929" t="s">
        <v>66</v>
      </c>
      <c r="D6" s="894" t="s">
        <v>895</v>
      </c>
      <c r="E6" s="894"/>
      <c r="F6" s="894"/>
      <c r="G6" s="894"/>
      <c r="H6" s="915" t="s">
        <v>894</v>
      </c>
      <c r="I6" s="916"/>
      <c r="J6" s="916"/>
      <c r="K6" s="916"/>
      <c r="L6" s="541"/>
      <c r="M6" s="898" t="s">
        <v>893</v>
      </c>
      <c r="N6" s="898"/>
      <c r="O6" s="898"/>
      <c r="P6" s="898"/>
      <c r="Q6" s="898"/>
      <c r="R6" s="898"/>
      <c r="S6" s="896"/>
      <c r="T6" s="541"/>
      <c r="U6" s="898" t="s">
        <v>892</v>
      </c>
      <c r="V6" s="898"/>
      <c r="W6" s="898"/>
      <c r="X6" s="898"/>
      <c r="Y6" s="898"/>
      <c r="Z6" s="898"/>
      <c r="AA6" s="919"/>
    </row>
    <row r="7" spans="1:27" ht="36">
      <c r="A7" s="927"/>
      <c r="B7" s="928"/>
      <c r="C7" s="930"/>
      <c r="D7" s="539"/>
      <c r="E7" s="514" t="s">
        <v>561</v>
      </c>
      <c r="F7" s="514" t="s">
        <v>890</v>
      </c>
      <c r="G7" s="514" t="s">
        <v>891</v>
      </c>
      <c r="H7" s="518"/>
      <c r="I7" s="514" t="s">
        <v>561</v>
      </c>
      <c r="J7" s="514" t="s">
        <v>890</v>
      </c>
      <c r="K7" s="514" t="s">
        <v>891</v>
      </c>
      <c r="L7" s="536"/>
      <c r="M7" s="514" t="s">
        <v>561</v>
      </c>
      <c r="N7" s="514" t="s">
        <v>903</v>
      </c>
      <c r="O7" s="514" t="s">
        <v>902</v>
      </c>
      <c r="P7" s="514" t="s">
        <v>901</v>
      </c>
      <c r="Q7" s="514" t="s">
        <v>900</v>
      </c>
      <c r="R7" s="514" t="s">
        <v>899</v>
      </c>
      <c r="S7" s="514" t="s">
        <v>885</v>
      </c>
      <c r="T7" s="536"/>
      <c r="U7" s="514" t="s">
        <v>561</v>
      </c>
      <c r="V7" s="514" t="s">
        <v>903</v>
      </c>
      <c r="W7" s="514" t="s">
        <v>902</v>
      </c>
      <c r="X7" s="514" t="s">
        <v>901</v>
      </c>
      <c r="Y7" s="514" t="s">
        <v>900</v>
      </c>
      <c r="Z7" s="514" t="s">
        <v>899</v>
      </c>
      <c r="AA7" s="514" t="s">
        <v>885</v>
      </c>
    </row>
    <row r="8" spans="1:27">
      <c r="A8" s="568">
        <v>1</v>
      </c>
      <c r="B8" s="567" t="s">
        <v>562</v>
      </c>
      <c r="C8" s="697">
        <f>D8+H8+L8+T8</f>
        <v>2023761810.5290344</v>
      </c>
      <c r="D8" s="673">
        <v>1934597313.9320912</v>
      </c>
      <c r="E8" s="673">
        <v>6794973.487813469</v>
      </c>
      <c r="F8" s="673">
        <v>0</v>
      </c>
      <c r="G8" s="673">
        <v>0</v>
      </c>
      <c r="H8" s="673">
        <v>74925429.675816193</v>
      </c>
      <c r="I8" s="673">
        <v>1028174.37548932</v>
      </c>
      <c r="J8" s="673">
        <v>10603985.395880291</v>
      </c>
      <c r="K8" s="673">
        <v>0</v>
      </c>
      <c r="L8" s="673">
        <v>14048225.901126822</v>
      </c>
      <c r="M8" s="673">
        <v>14599.091775027431</v>
      </c>
      <c r="N8" s="673">
        <v>123761.99020198151</v>
      </c>
      <c r="O8" s="673">
        <v>13096628.230406828</v>
      </c>
      <c r="P8" s="673">
        <v>0</v>
      </c>
      <c r="Q8" s="673">
        <v>0</v>
      </c>
      <c r="R8" s="673">
        <v>0</v>
      </c>
      <c r="S8" s="673">
        <v>0</v>
      </c>
      <c r="T8" s="673">
        <v>190841.02000000005</v>
      </c>
      <c r="U8" s="673">
        <v>2368.9700000000003</v>
      </c>
      <c r="V8" s="673"/>
      <c r="W8" s="673">
        <v>0</v>
      </c>
      <c r="X8" s="673">
        <v>0</v>
      </c>
      <c r="Y8" s="673">
        <v>0</v>
      </c>
      <c r="Z8" s="673">
        <v>0</v>
      </c>
      <c r="AA8" s="696">
        <v>0</v>
      </c>
    </row>
    <row r="9" spans="1:27" ht="13.8">
      <c r="A9" s="560">
        <v>1.1000000000000001</v>
      </c>
      <c r="B9" s="566" t="s">
        <v>573</v>
      </c>
      <c r="C9" s="691">
        <f>D9+H9+L9+T9</f>
        <v>927321387.14077163</v>
      </c>
      <c r="D9" s="776">
        <v>897096906.68970978</v>
      </c>
      <c r="E9" s="694">
        <v>2103440.9204083574</v>
      </c>
      <c r="F9" s="504"/>
      <c r="G9" s="504"/>
      <c r="H9" s="694">
        <v>27002019.396521635</v>
      </c>
      <c r="I9" s="694">
        <v>198599.72229254205</v>
      </c>
      <c r="J9" s="694">
        <v>3752765.9756888449</v>
      </c>
      <c r="K9" s="694"/>
      <c r="L9" s="694">
        <v>3076964.3145400961</v>
      </c>
      <c r="M9" s="694">
        <v>9259.7453122033494</v>
      </c>
      <c r="N9" s="694">
        <v>48532.095405041808</v>
      </c>
      <c r="O9" s="694">
        <v>2775368.6603782857</v>
      </c>
      <c r="P9" s="694"/>
      <c r="Q9" s="504"/>
      <c r="R9" s="504"/>
      <c r="S9" s="504"/>
      <c r="T9" s="673">
        <v>145496.74000000002</v>
      </c>
      <c r="U9" s="673">
        <v>2368.9700000000003</v>
      </c>
      <c r="V9" s="673"/>
      <c r="W9" s="504"/>
      <c r="X9" s="504"/>
      <c r="Y9" s="504"/>
      <c r="Z9" s="504"/>
      <c r="AA9" s="548"/>
    </row>
    <row r="10" spans="1:27">
      <c r="A10" s="564" t="s">
        <v>157</v>
      </c>
      <c r="B10" s="565" t="s">
        <v>574</v>
      </c>
      <c r="C10" s="692">
        <f>SUM(C11:C14)</f>
        <v>585917598.03657699</v>
      </c>
      <c r="D10" s="770">
        <f t="shared" ref="D10:AA10" si="0">SUM(D11:D14)</f>
        <v>572663010.63317466</v>
      </c>
      <c r="E10" s="770">
        <f t="shared" si="0"/>
        <v>579206.7685019616</v>
      </c>
      <c r="F10" s="770">
        <f t="shared" si="0"/>
        <v>0</v>
      </c>
      <c r="G10" s="770">
        <f t="shared" si="0"/>
        <v>0</v>
      </c>
      <c r="H10" s="770">
        <f t="shared" si="0"/>
        <v>11930593.543852966</v>
      </c>
      <c r="I10" s="770">
        <f t="shared" si="0"/>
        <v>22780.024940953899</v>
      </c>
      <c r="J10" s="770">
        <f t="shared" si="0"/>
        <v>2218412.1744606122</v>
      </c>
      <c r="K10" s="770">
        <f t="shared" si="0"/>
        <v>0</v>
      </c>
      <c r="L10" s="770">
        <f t="shared" si="0"/>
        <v>1306903.0095494553</v>
      </c>
      <c r="M10" s="770">
        <f t="shared" si="0"/>
        <v>5573.3186633333698</v>
      </c>
      <c r="N10" s="770">
        <f t="shared" si="0"/>
        <v>27795.711506630902</v>
      </c>
      <c r="O10" s="770">
        <f t="shared" si="0"/>
        <v>1241024.8723442222</v>
      </c>
      <c r="P10" s="770">
        <f t="shared" si="0"/>
        <v>0</v>
      </c>
      <c r="Q10" s="770">
        <f t="shared" si="0"/>
        <v>0</v>
      </c>
      <c r="R10" s="770">
        <f t="shared" si="0"/>
        <v>0</v>
      </c>
      <c r="S10" s="692">
        <f t="shared" si="0"/>
        <v>0</v>
      </c>
      <c r="T10" s="692">
        <f t="shared" si="0"/>
        <v>17090.849999999999</v>
      </c>
      <c r="U10" s="770">
        <f t="shared" si="0"/>
        <v>1205.18</v>
      </c>
      <c r="V10" s="692"/>
      <c r="W10" s="692"/>
      <c r="X10" s="692">
        <f t="shared" si="0"/>
        <v>0</v>
      </c>
      <c r="Y10" s="692">
        <f t="shared" si="0"/>
        <v>0</v>
      </c>
      <c r="Z10" s="692">
        <f t="shared" si="0"/>
        <v>0</v>
      </c>
      <c r="AA10" s="692">
        <f t="shared" si="0"/>
        <v>0</v>
      </c>
    </row>
    <row r="11" spans="1:27" ht="14.4">
      <c r="A11" s="562" t="s">
        <v>575</v>
      </c>
      <c r="B11" s="563" t="s">
        <v>576</v>
      </c>
      <c r="C11" s="691">
        <f>D11+H11+L11+T11</f>
        <v>358355091.05265701</v>
      </c>
      <c r="D11" s="771">
        <v>350985118.08332729</v>
      </c>
      <c r="E11" s="771">
        <v>318002.70497130405</v>
      </c>
      <c r="F11" s="504"/>
      <c r="G11" s="504"/>
      <c r="H11" s="771">
        <v>6474918.8073587697</v>
      </c>
      <c r="I11" s="772"/>
      <c r="J11" s="773">
        <v>521627.08158219705</v>
      </c>
      <c r="K11" s="694"/>
      <c r="L11" s="773">
        <v>877963.31197095045</v>
      </c>
      <c r="M11" s="772"/>
      <c r="N11" s="809">
        <v>27795.711506630902</v>
      </c>
      <c r="O11" s="694">
        <v>830134.39565606345</v>
      </c>
      <c r="P11" s="773"/>
      <c r="Q11" s="504"/>
      <c r="R11" s="504"/>
      <c r="S11" s="504"/>
      <c r="T11" s="690">
        <v>17090.849999999999</v>
      </c>
      <c r="U11" s="673">
        <v>1205.18</v>
      </c>
      <c r="V11" s="504"/>
      <c r="W11" s="504"/>
      <c r="X11" s="504"/>
      <c r="Y11" s="504"/>
      <c r="Z11" s="504"/>
      <c r="AA11" s="548"/>
    </row>
    <row r="12" spans="1:27" ht="14.4">
      <c r="A12" s="562" t="s">
        <v>577</v>
      </c>
      <c r="B12" s="563" t="s">
        <v>578</v>
      </c>
      <c r="C12" s="691">
        <f t="shared" ref="C12:C15" si="1">D12+H12+L12+T12</f>
        <v>118002974.46561387</v>
      </c>
      <c r="D12" s="771">
        <v>116760571.00642149</v>
      </c>
      <c r="E12" s="771">
        <v>261204.0635306575</v>
      </c>
      <c r="F12" s="504"/>
      <c r="G12" s="504"/>
      <c r="H12" s="771">
        <v>1229927.5569653586</v>
      </c>
      <c r="I12" s="774"/>
      <c r="J12" s="772">
        <v>141961.54110007771</v>
      </c>
      <c r="K12" s="694"/>
      <c r="L12" s="773">
        <v>12475.902227012601</v>
      </c>
      <c r="M12" s="504"/>
      <c r="N12" s="673"/>
      <c r="O12" s="694"/>
      <c r="P12" s="773"/>
      <c r="Q12" s="504"/>
      <c r="R12" s="504"/>
      <c r="S12" s="504"/>
      <c r="T12" s="504"/>
      <c r="U12" s="504"/>
      <c r="V12" s="504"/>
      <c r="W12" s="504"/>
      <c r="X12" s="504"/>
      <c r="Y12" s="504"/>
      <c r="Z12" s="504"/>
      <c r="AA12" s="548"/>
    </row>
    <row r="13" spans="1:27" ht="14.4">
      <c r="A13" s="562" t="s">
        <v>579</v>
      </c>
      <c r="B13" s="563" t="s">
        <v>580</v>
      </c>
      <c r="C13" s="691">
        <f t="shared" si="1"/>
        <v>54233532.360101573</v>
      </c>
      <c r="D13" s="771">
        <v>53211307.264939696</v>
      </c>
      <c r="E13" s="771"/>
      <c r="F13" s="504"/>
      <c r="G13" s="504"/>
      <c r="H13" s="771">
        <v>1022225.0951618812</v>
      </c>
      <c r="I13" s="775"/>
      <c r="J13" s="773">
        <v>50911.541415182299</v>
      </c>
      <c r="K13" s="694"/>
      <c r="L13" s="773"/>
      <c r="M13" s="504"/>
      <c r="N13" s="504"/>
      <c r="O13" s="694"/>
      <c r="P13" s="773"/>
      <c r="Q13" s="504"/>
      <c r="R13" s="504"/>
      <c r="S13" s="504"/>
      <c r="T13" s="504"/>
      <c r="U13" s="504"/>
      <c r="V13" s="504"/>
      <c r="W13" s="504"/>
      <c r="X13" s="504"/>
      <c r="Y13" s="504"/>
      <c r="Z13" s="504"/>
      <c r="AA13" s="548"/>
    </row>
    <row r="14" spans="1:27" ht="14.4">
      <c r="A14" s="562" t="s">
        <v>581</v>
      </c>
      <c r="B14" s="563" t="s">
        <v>582</v>
      </c>
      <c r="C14" s="691">
        <f t="shared" si="1"/>
        <v>55326000.158204556</v>
      </c>
      <c r="D14" s="771">
        <v>51706014.27848611</v>
      </c>
      <c r="E14" s="771"/>
      <c r="F14" s="504"/>
      <c r="G14" s="504"/>
      <c r="H14" s="771">
        <v>3203522.0843669577</v>
      </c>
      <c r="I14" s="774">
        <v>22780.024940953899</v>
      </c>
      <c r="J14" s="673">
        <v>1503912.010363155</v>
      </c>
      <c r="K14" s="694"/>
      <c r="L14" s="773">
        <v>416463.79535149212</v>
      </c>
      <c r="M14" s="673">
        <v>5573.3186633333698</v>
      </c>
      <c r="N14" s="504"/>
      <c r="O14" s="694">
        <v>410890.47668815876</v>
      </c>
      <c r="P14" s="773"/>
      <c r="Q14" s="504"/>
      <c r="R14" s="504"/>
      <c r="S14" s="504"/>
      <c r="T14" s="504"/>
      <c r="U14" s="504"/>
      <c r="V14" s="504"/>
      <c r="W14" s="504"/>
      <c r="X14" s="504"/>
      <c r="Y14" s="504"/>
      <c r="Z14" s="504"/>
      <c r="AA14" s="548"/>
    </row>
    <row r="15" spans="1:27" ht="14.4">
      <c r="A15" s="561">
        <v>1.2</v>
      </c>
      <c r="B15" s="559" t="s">
        <v>898</v>
      </c>
      <c r="C15" s="691">
        <f t="shared" si="1"/>
        <v>10911629.769682935</v>
      </c>
      <c r="D15" s="772">
        <v>5063012.3903469937</v>
      </c>
      <c r="E15" s="773">
        <v>452471.21192818065</v>
      </c>
      <c r="F15" s="504"/>
      <c r="G15" s="504"/>
      <c r="H15" s="776">
        <v>3468240.2126682978</v>
      </c>
      <c r="I15" s="776">
        <v>42142.527895464751</v>
      </c>
      <c r="J15" s="776">
        <v>960772.74767786032</v>
      </c>
      <c r="K15" s="673"/>
      <c r="L15" s="776">
        <v>2378242.4832550604</v>
      </c>
      <c r="M15" s="673">
        <v>7837.7829281406703</v>
      </c>
      <c r="N15" s="673">
        <v>36508.156583244163</v>
      </c>
      <c r="O15" s="694">
        <v>2134304.6484454819</v>
      </c>
      <c r="P15" s="694"/>
      <c r="Q15" s="504"/>
      <c r="R15" s="504"/>
      <c r="S15" s="504"/>
      <c r="T15" s="673">
        <v>2134.6834125825962</v>
      </c>
      <c r="U15" s="673">
        <v>641.720893386282</v>
      </c>
      <c r="V15" s="673"/>
      <c r="W15" s="504"/>
      <c r="X15" s="504"/>
      <c r="Y15" s="504"/>
      <c r="Z15" s="504"/>
      <c r="AA15" s="548"/>
    </row>
    <row r="16" spans="1:27">
      <c r="A16" s="560">
        <v>1.3</v>
      </c>
      <c r="B16" s="559" t="s">
        <v>583</v>
      </c>
      <c r="C16" s="558"/>
      <c r="D16" s="558"/>
      <c r="E16" s="558"/>
      <c r="F16" s="558"/>
      <c r="G16" s="558"/>
      <c r="H16" s="558"/>
      <c r="I16" s="558"/>
      <c r="J16" s="558"/>
      <c r="K16" s="558"/>
      <c r="L16" s="558"/>
      <c r="M16" s="558"/>
      <c r="N16" s="558"/>
      <c r="O16" s="558"/>
      <c r="P16" s="558"/>
      <c r="Q16" s="558"/>
      <c r="R16" s="558"/>
      <c r="S16" s="558"/>
      <c r="T16" s="558"/>
      <c r="U16" s="557"/>
      <c r="V16" s="557"/>
      <c r="W16" s="557"/>
      <c r="X16" s="557"/>
      <c r="Y16" s="557"/>
      <c r="Z16" s="557"/>
      <c r="AA16" s="556"/>
    </row>
    <row r="17" spans="1:27" ht="24">
      <c r="A17" s="553" t="s">
        <v>584</v>
      </c>
      <c r="B17" s="555" t="s">
        <v>585</v>
      </c>
      <c r="C17" s="769">
        <f>D17+H17+L17+T17</f>
        <v>909547466.09256804</v>
      </c>
      <c r="D17" s="694">
        <v>880441330.02189422</v>
      </c>
      <c r="E17" s="694">
        <v>2064733.899995723</v>
      </c>
      <c r="F17" s="504"/>
      <c r="G17" s="504"/>
      <c r="H17" s="694">
        <v>25967000.049706616</v>
      </c>
      <c r="I17" s="694">
        <v>191333.87216684548</v>
      </c>
      <c r="J17" s="694">
        <v>3623655.9831324918</v>
      </c>
      <c r="K17" s="694"/>
      <c r="L17" s="694">
        <v>2993639.2809671764</v>
      </c>
      <c r="M17" s="694">
        <v>9259.7453122033494</v>
      </c>
      <c r="N17" s="694">
        <v>48219.335976581562</v>
      </c>
      <c r="O17" s="716">
        <v>2692356.3862338262</v>
      </c>
      <c r="P17" s="694"/>
      <c r="Q17" s="504"/>
      <c r="R17" s="504"/>
      <c r="S17" s="504"/>
      <c r="T17" s="694">
        <v>145496.74000000002</v>
      </c>
      <c r="U17" s="694">
        <v>2368.9700000000003</v>
      </c>
      <c r="V17" s="673"/>
      <c r="W17" s="504"/>
      <c r="X17" s="504"/>
      <c r="Y17" s="504"/>
      <c r="Z17" s="504"/>
      <c r="AA17" s="548"/>
    </row>
    <row r="18" spans="1:27" ht="24">
      <c r="A18" s="551" t="s">
        <v>586</v>
      </c>
      <c r="B18" s="552" t="s">
        <v>587</v>
      </c>
      <c r="C18" s="769">
        <f t="shared" ref="C18:C22" si="2">D18+H18+L18+T18</f>
        <v>570676564.27065861</v>
      </c>
      <c r="D18" s="694">
        <v>558267858.13863194</v>
      </c>
      <c r="E18" s="694">
        <v>579206.76850196137</v>
      </c>
      <c r="F18" s="504">
        <v>0</v>
      </c>
      <c r="G18" s="504">
        <v>0</v>
      </c>
      <c r="H18" s="694">
        <v>11241293.618686009</v>
      </c>
      <c r="I18" s="694">
        <v>19642.904930866891</v>
      </c>
      <c r="J18" s="694">
        <v>2063695.5051044996</v>
      </c>
      <c r="K18" s="504"/>
      <c r="L18" s="694">
        <v>1150321.663340721</v>
      </c>
      <c r="M18" s="673">
        <v>3750.9215592689698</v>
      </c>
      <c r="N18" s="673">
        <v>27795.711506630902</v>
      </c>
      <c r="O18" s="694">
        <v>1086265.9232395524</v>
      </c>
      <c r="P18" s="504"/>
      <c r="Q18" s="504">
        <v>0</v>
      </c>
      <c r="R18" s="504">
        <v>0</v>
      </c>
      <c r="S18" s="504">
        <v>0</v>
      </c>
      <c r="T18" s="673">
        <v>17090.849999999999</v>
      </c>
      <c r="U18" s="810">
        <v>1205.18</v>
      </c>
      <c r="V18" s="673"/>
      <c r="W18" s="504"/>
      <c r="X18" s="504">
        <v>0</v>
      </c>
      <c r="Y18" s="504">
        <v>0</v>
      </c>
      <c r="Z18" s="504">
        <v>0</v>
      </c>
      <c r="AA18" s="548">
        <v>0</v>
      </c>
    </row>
    <row r="19" spans="1:27">
      <c r="A19" s="553" t="s">
        <v>588</v>
      </c>
      <c r="B19" s="554" t="s">
        <v>589</v>
      </c>
      <c r="C19" s="769">
        <f t="shared" si="2"/>
        <v>1526395772.7048612</v>
      </c>
      <c r="D19" s="694">
        <v>1482451402.5789597</v>
      </c>
      <c r="E19" s="694">
        <v>2943281.4326267838</v>
      </c>
      <c r="F19" s="504"/>
      <c r="G19" s="504"/>
      <c r="H19" s="694">
        <v>37331239.615661152</v>
      </c>
      <c r="I19" s="694">
        <v>195194.95263832482</v>
      </c>
      <c r="J19" s="694">
        <v>6307271.1381195523</v>
      </c>
      <c r="K19" s="694"/>
      <c r="L19" s="694">
        <v>5209618.6102402313</v>
      </c>
      <c r="M19" s="694">
        <v>51602.176247065625</v>
      </c>
      <c r="N19" s="694">
        <v>136934.15524506001</v>
      </c>
      <c r="O19" s="694">
        <v>4721692.778575982</v>
      </c>
      <c r="P19" s="694"/>
      <c r="Q19" s="504"/>
      <c r="R19" s="504"/>
      <c r="S19" s="504"/>
      <c r="T19" s="673">
        <v>1403511.9</v>
      </c>
      <c r="U19" s="673">
        <v>67262.706311795453</v>
      </c>
      <c r="V19" s="673"/>
      <c r="W19" s="504"/>
      <c r="X19" s="504"/>
      <c r="Y19" s="504"/>
      <c r="Z19" s="504"/>
      <c r="AA19" s="548"/>
    </row>
    <row r="20" spans="1:27">
      <c r="A20" s="551" t="s">
        <v>590</v>
      </c>
      <c r="B20" s="552" t="s">
        <v>591</v>
      </c>
      <c r="C20" s="769">
        <f t="shared" si="2"/>
        <v>652727696.95000005</v>
      </c>
      <c r="D20" s="694">
        <v>642801979</v>
      </c>
      <c r="E20" s="694">
        <v>608749</v>
      </c>
      <c r="F20" s="504"/>
      <c r="G20" s="504"/>
      <c r="H20" s="694">
        <v>8485518</v>
      </c>
      <c r="I20" s="694"/>
      <c r="J20" s="694">
        <v>764847</v>
      </c>
      <c r="K20" s="694"/>
      <c r="L20" s="694">
        <v>1317442</v>
      </c>
      <c r="M20" s="673"/>
      <c r="N20" s="673">
        <v>47984.239143470899</v>
      </c>
      <c r="O20" s="694">
        <v>1239173</v>
      </c>
      <c r="P20" s="504"/>
      <c r="Q20" s="504"/>
      <c r="R20" s="504"/>
      <c r="S20" s="504"/>
      <c r="T20" s="673">
        <v>122757.94999999995</v>
      </c>
      <c r="U20" s="673">
        <v>5726.4963117954594</v>
      </c>
      <c r="V20" s="504"/>
      <c r="W20" s="504"/>
      <c r="X20" s="504"/>
      <c r="Y20" s="504"/>
      <c r="Z20" s="504"/>
      <c r="AA20" s="548"/>
    </row>
    <row r="21" spans="1:27">
      <c r="A21" s="550">
        <v>1.4</v>
      </c>
      <c r="B21" s="549" t="s">
        <v>681</v>
      </c>
      <c r="C21" s="769">
        <f t="shared" si="2"/>
        <v>87718.399999999994</v>
      </c>
      <c r="D21" s="694">
        <v>87718.399999999994</v>
      </c>
      <c r="E21" s="673"/>
      <c r="F21" s="504"/>
      <c r="G21" s="504"/>
      <c r="H21" s="673"/>
      <c r="I21" s="673"/>
      <c r="J21" s="673"/>
      <c r="K21" s="504"/>
      <c r="L21" s="673"/>
      <c r="M21" s="673"/>
      <c r="N21" s="673"/>
      <c r="O21" s="673"/>
      <c r="P21" s="673"/>
      <c r="Q21" s="504"/>
      <c r="R21" s="504"/>
      <c r="S21" s="504"/>
      <c r="T21" s="673"/>
      <c r="U21" s="673"/>
      <c r="V21" s="504"/>
      <c r="W21" s="504"/>
      <c r="X21" s="504"/>
      <c r="Y21" s="504"/>
      <c r="Z21" s="504"/>
      <c r="AA21" s="548"/>
    </row>
    <row r="22" spans="1:27" ht="12.6" thickBot="1">
      <c r="A22" s="547">
        <v>1.5</v>
      </c>
      <c r="B22" s="546" t="s">
        <v>682</v>
      </c>
      <c r="C22" s="769">
        <f t="shared" si="2"/>
        <v>0</v>
      </c>
      <c r="D22" s="811"/>
      <c r="E22" s="545"/>
      <c r="F22" s="545"/>
      <c r="G22" s="545"/>
      <c r="H22" s="545"/>
      <c r="I22" s="545"/>
      <c r="J22" s="545"/>
      <c r="K22" s="545"/>
      <c r="L22" s="545"/>
      <c r="M22" s="545"/>
      <c r="N22" s="545"/>
      <c r="O22" s="545"/>
      <c r="P22" s="545"/>
      <c r="Q22" s="545"/>
      <c r="R22" s="545"/>
      <c r="S22" s="545"/>
      <c r="T22" s="545"/>
      <c r="U22" s="545"/>
      <c r="V22" s="545"/>
      <c r="W22" s="545"/>
      <c r="X22" s="545"/>
      <c r="Y22" s="545"/>
      <c r="Z22" s="545"/>
      <c r="AA22" s="544"/>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B2" zoomScale="90" zoomScaleNormal="90" workbookViewId="0">
      <selection activeCell="P28" sqref="P28"/>
    </sheetView>
  </sheetViews>
  <sheetFormatPr defaultColWidth="9.21875" defaultRowHeight="12"/>
  <cols>
    <col min="1" max="1" width="11.77734375" style="517" bestFit="1" customWidth="1"/>
    <col min="2" max="2" width="93.44140625" style="517" customWidth="1"/>
    <col min="3" max="3" width="14.6640625" style="517" customWidth="1"/>
    <col min="4" max="5" width="16.109375" style="517" customWidth="1"/>
    <col min="6" max="6" width="16.109375" style="535" customWidth="1"/>
    <col min="7" max="7" width="25.21875" style="535" customWidth="1"/>
    <col min="8" max="8" width="16.109375" style="517" customWidth="1"/>
    <col min="9" max="11" width="16.109375" style="535" customWidth="1"/>
    <col min="12" max="12" width="26.21875" style="535" customWidth="1"/>
    <col min="13" max="16384" width="9.21875" style="517"/>
  </cols>
  <sheetData>
    <row r="1" spans="1:12" ht="13.8">
      <c r="A1" s="391" t="s">
        <v>108</v>
      </c>
      <c r="B1" s="310" t="str">
        <f>Info!C2</f>
        <v>კრედო</v>
      </c>
      <c r="F1" s="517"/>
      <c r="G1" s="517"/>
      <c r="I1" s="517"/>
      <c r="J1" s="517"/>
      <c r="K1" s="517"/>
      <c r="L1" s="517"/>
    </row>
    <row r="2" spans="1:12">
      <c r="A2" s="391" t="s">
        <v>109</v>
      </c>
      <c r="B2" s="394">
        <f>'1. key ratios'!B2</f>
        <v>45291</v>
      </c>
      <c r="F2" s="517"/>
      <c r="G2" s="517"/>
      <c r="I2" s="517"/>
      <c r="J2" s="517"/>
      <c r="K2" s="517"/>
      <c r="L2" s="517"/>
    </row>
    <row r="3" spans="1:12">
      <c r="A3" s="393" t="s">
        <v>594</v>
      </c>
      <c r="F3" s="517"/>
      <c r="G3" s="517"/>
      <c r="I3" s="517"/>
      <c r="J3" s="517"/>
      <c r="K3" s="517"/>
      <c r="L3" s="517"/>
    </row>
    <row r="4" spans="1:12">
      <c r="F4" s="517"/>
      <c r="G4" s="517"/>
      <c r="I4" s="517"/>
      <c r="J4" s="517"/>
      <c r="K4" s="517"/>
      <c r="L4" s="517"/>
    </row>
    <row r="5" spans="1:12" ht="37.5" customHeight="1">
      <c r="A5" s="882" t="s">
        <v>595</v>
      </c>
      <c r="B5" s="883"/>
      <c r="C5" s="931" t="s">
        <v>596</v>
      </c>
      <c r="D5" s="932"/>
      <c r="E5" s="932"/>
      <c r="F5" s="932"/>
      <c r="G5" s="932"/>
      <c r="H5" s="931" t="s">
        <v>905</v>
      </c>
      <c r="I5" s="933"/>
      <c r="J5" s="933"/>
      <c r="K5" s="933"/>
      <c r="L5" s="934"/>
    </row>
    <row r="6" spans="1:12" ht="39.450000000000003" customHeight="1">
      <c r="A6" s="886"/>
      <c r="B6" s="887"/>
      <c r="C6" s="398"/>
      <c r="D6" s="515" t="s">
        <v>895</v>
      </c>
      <c r="E6" s="515" t="s">
        <v>894</v>
      </c>
      <c r="F6" s="515" t="s">
        <v>893</v>
      </c>
      <c r="G6" s="515" t="s">
        <v>892</v>
      </c>
      <c r="H6" s="536"/>
      <c r="I6" s="515" t="s">
        <v>895</v>
      </c>
      <c r="J6" s="515" t="s">
        <v>894</v>
      </c>
      <c r="K6" s="515" t="s">
        <v>893</v>
      </c>
      <c r="L6" s="515" t="s">
        <v>892</v>
      </c>
    </row>
    <row r="7" spans="1:12">
      <c r="A7" s="504">
        <v>1</v>
      </c>
      <c r="B7" s="520" t="s">
        <v>518</v>
      </c>
      <c r="C7" s="686">
        <f>SUM(D7:G7)</f>
        <v>37392650.895901702</v>
      </c>
      <c r="D7" s="673">
        <v>36532659.622271165</v>
      </c>
      <c r="E7" s="673">
        <v>693202.96422169777</v>
      </c>
      <c r="F7" s="673">
        <v>166788.30940883898</v>
      </c>
      <c r="G7" s="683"/>
      <c r="H7" s="673">
        <f>SUM(I7:L7)</f>
        <v>598455.0904333964</v>
      </c>
      <c r="I7" s="684">
        <v>350411.86541857873</v>
      </c>
      <c r="J7" s="684">
        <v>112346.33501678379</v>
      </c>
      <c r="K7" s="684">
        <v>135696.8899980339</v>
      </c>
      <c r="L7" s="684"/>
    </row>
    <row r="8" spans="1:12">
      <c r="A8" s="504">
        <v>2</v>
      </c>
      <c r="B8" s="520" t="s">
        <v>519</v>
      </c>
      <c r="C8" s="686">
        <f t="shared" ref="C8:C33" si="0">SUM(D8:G8)</f>
        <v>11749970.458166368</v>
      </c>
      <c r="D8" s="673">
        <v>11554048.882791255</v>
      </c>
      <c r="E8" s="673">
        <v>171473.18537511304</v>
      </c>
      <c r="F8" s="684">
        <v>24448.389999999996</v>
      </c>
      <c r="G8" s="684"/>
      <c r="H8" s="673">
        <f t="shared" ref="H8:H32" si="1">SUM(I8:L8)</f>
        <v>131010.87774214883</v>
      </c>
      <c r="I8" s="684">
        <v>85174.215298203897</v>
      </c>
      <c r="J8" s="684">
        <v>25227.919462436639</v>
      </c>
      <c r="K8" s="684">
        <v>20608.742981508301</v>
      </c>
      <c r="L8" s="684"/>
    </row>
    <row r="9" spans="1:12">
      <c r="A9" s="504">
        <v>3</v>
      </c>
      <c r="B9" s="520" t="s">
        <v>871</v>
      </c>
      <c r="C9" s="686">
        <f t="shared" si="0"/>
        <v>6580729.1764587918</v>
      </c>
      <c r="D9" s="673">
        <v>6097914.0428354722</v>
      </c>
      <c r="E9" s="673">
        <v>412044.18556807155</v>
      </c>
      <c r="F9" s="685">
        <v>70770.948055247864</v>
      </c>
      <c r="G9" s="685"/>
      <c r="H9" s="673">
        <f t="shared" si="1"/>
        <v>193570.2997847221</v>
      </c>
      <c r="I9" s="685">
        <v>58605.288866571165</v>
      </c>
      <c r="J9" s="685">
        <v>75303.180433849062</v>
      </c>
      <c r="K9" s="685">
        <v>59661.830484301885</v>
      </c>
      <c r="L9" s="685"/>
    </row>
    <row r="10" spans="1:12">
      <c r="A10" s="504">
        <v>4</v>
      </c>
      <c r="B10" s="520" t="s">
        <v>520</v>
      </c>
      <c r="C10" s="686">
        <f t="shared" si="0"/>
        <v>11890249.001402168</v>
      </c>
      <c r="D10" s="673">
        <v>11884688.348603224</v>
      </c>
      <c r="E10" s="673">
        <v>5560.6527989424203</v>
      </c>
      <c r="F10" s="685"/>
      <c r="G10" s="685"/>
      <c r="H10" s="673">
        <f t="shared" si="1"/>
        <v>34439.938588217905</v>
      </c>
      <c r="I10" s="685">
        <v>33447.492593721065</v>
      </c>
      <c r="J10" s="685">
        <v>992.44599449684199</v>
      </c>
      <c r="K10" s="685"/>
      <c r="L10" s="685"/>
    </row>
    <row r="11" spans="1:12">
      <c r="A11" s="504">
        <v>5</v>
      </c>
      <c r="B11" s="520" t="s">
        <v>521</v>
      </c>
      <c r="C11" s="686">
        <f t="shared" si="0"/>
        <v>34822108.364779338</v>
      </c>
      <c r="D11" s="673">
        <v>34566240.809988692</v>
      </c>
      <c r="E11" s="673">
        <v>242347.01620767292</v>
      </c>
      <c r="F11" s="685">
        <v>13520.5385829726</v>
      </c>
      <c r="G11" s="685"/>
      <c r="H11" s="673">
        <f t="shared" si="1"/>
        <v>174147.10106253237</v>
      </c>
      <c r="I11" s="685">
        <v>130865.50968075436</v>
      </c>
      <c r="J11" s="685">
        <v>32989.516151754222</v>
      </c>
      <c r="K11" s="685">
        <v>10292.075230023782</v>
      </c>
      <c r="L11" s="685"/>
    </row>
    <row r="12" spans="1:12">
      <c r="A12" s="504">
        <v>6</v>
      </c>
      <c r="B12" s="520" t="s">
        <v>522</v>
      </c>
      <c r="C12" s="686">
        <f t="shared" si="0"/>
        <v>9425224.092348028</v>
      </c>
      <c r="D12" s="673">
        <v>8964749.4069489352</v>
      </c>
      <c r="E12" s="673">
        <v>402999.38957744534</v>
      </c>
      <c r="F12" s="685">
        <v>57475.295821647407</v>
      </c>
      <c r="G12" s="685"/>
      <c r="H12" s="673">
        <f t="shared" si="1"/>
        <v>146383.51671790791</v>
      </c>
      <c r="I12" s="685">
        <v>57022.100378664392</v>
      </c>
      <c r="J12" s="685">
        <v>40909.386587687542</v>
      </c>
      <c r="K12" s="685">
        <v>48452.029751555987</v>
      </c>
      <c r="L12" s="685"/>
    </row>
    <row r="13" spans="1:12">
      <c r="A13" s="504">
        <v>7</v>
      </c>
      <c r="B13" s="520" t="s">
        <v>523</v>
      </c>
      <c r="C13" s="686">
        <f t="shared" si="0"/>
        <v>3643255.3761250214</v>
      </c>
      <c r="D13" s="673">
        <v>3397961.5241234796</v>
      </c>
      <c r="E13" s="673">
        <v>215987.16541451987</v>
      </c>
      <c r="F13" s="685">
        <v>29306.686587021741</v>
      </c>
      <c r="G13" s="685"/>
      <c r="H13" s="673">
        <f t="shared" si="1"/>
        <v>80207.147624354548</v>
      </c>
      <c r="I13" s="685">
        <v>29880.396834238396</v>
      </c>
      <c r="J13" s="685">
        <v>25552.282035351167</v>
      </c>
      <c r="K13" s="685">
        <v>24774.468754764974</v>
      </c>
      <c r="L13" s="685"/>
    </row>
    <row r="14" spans="1:12">
      <c r="A14" s="504">
        <v>8</v>
      </c>
      <c r="B14" s="520" t="s">
        <v>524</v>
      </c>
      <c r="C14" s="686">
        <f t="shared" si="0"/>
        <v>146669293.25368911</v>
      </c>
      <c r="D14" s="673">
        <v>140097834.88418871</v>
      </c>
      <c r="E14" s="673">
        <v>5614703.9402164156</v>
      </c>
      <c r="F14" s="685">
        <v>928837.74928396591</v>
      </c>
      <c r="G14" s="685">
        <v>27916.68</v>
      </c>
      <c r="H14" s="673">
        <f t="shared" si="1"/>
        <v>2738278.475319175</v>
      </c>
      <c r="I14" s="685">
        <v>1155510.1121995256</v>
      </c>
      <c r="J14" s="685">
        <v>793854.48886923445</v>
      </c>
      <c r="K14" s="685">
        <v>788603.52960562089</v>
      </c>
      <c r="L14" s="685">
        <v>310.34464479406506</v>
      </c>
    </row>
    <row r="15" spans="1:12">
      <c r="A15" s="504">
        <v>9</v>
      </c>
      <c r="B15" s="520" t="s">
        <v>525</v>
      </c>
      <c r="C15" s="686">
        <f t="shared" si="0"/>
        <v>29105863.538597193</v>
      </c>
      <c r="D15" s="673">
        <v>28046120.439423379</v>
      </c>
      <c r="E15" s="673">
        <v>811120.95407257276</v>
      </c>
      <c r="F15" s="685">
        <v>247728.06510124356</v>
      </c>
      <c r="G15" s="685">
        <v>894.08</v>
      </c>
      <c r="H15" s="673">
        <f t="shared" si="1"/>
        <v>566054.7068355087</v>
      </c>
      <c r="I15" s="685">
        <v>234480.81371003325</v>
      </c>
      <c r="J15" s="685">
        <v>128258.77709857472</v>
      </c>
      <c r="K15" s="685">
        <v>203304.42449815702</v>
      </c>
      <c r="L15" s="685">
        <v>10.691528743733</v>
      </c>
    </row>
    <row r="16" spans="1:12">
      <c r="A16" s="504">
        <v>10</v>
      </c>
      <c r="B16" s="520" t="s">
        <v>526</v>
      </c>
      <c r="C16" s="686">
        <f t="shared" si="0"/>
        <v>13863508.950768856</v>
      </c>
      <c r="D16" s="673">
        <v>13295485.532560846</v>
      </c>
      <c r="E16" s="673">
        <v>453445.76955737465</v>
      </c>
      <c r="F16" s="685">
        <v>114577.64865063546</v>
      </c>
      <c r="G16" s="685"/>
      <c r="H16" s="673">
        <f t="shared" si="1"/>
        <v>256355.12507765397</v>
      </c>
      <c r="I16" s="685">
        <v>92926.505879285542</v>
      </c>
      <c r="J16" s="685">
        <v>65510.774570414716</v>
      </c>
      <c r="K16" s="685">
        <v>97917.844627953731</v>
      </c>
      <c r="L16" s="685"/>
    </row>
    <row r="17" spans="1:12">
      <c r="A17" s="504">
        <v>11</v>
      </c>
      <c r="B17" s="520" t="s">
        <v>527</v>
      </c>
      <c r="C17" s="686">
        <f t="shared" si="0"/>
        <v>6949381.5486481404</v>
      </c>
      <c r="D17" s="673">
        <v>6466084.8978559999</v>
      </c>
      <c r="E17" s="673">
        <v>322141.22291486571</v>
      </c>
      <c r="F17" s="685">
        <v>144614.48787727373</v>
      </c>
      <c r="G17" s="685">
        <v>16540.939999999999</v>
      </c>
      <c r="H17" s="673">
        <f t="shared" si="1"/>
        <v>227668.63712947755</v>
      </c>
      <c r="I17" s="685">
        <v>65365.823230367278</v>
      </c>
      <c r="J17" s="685">
        <v>51721.622551538145</v>
      </c>
      <c r="K17" s="685">
        <v>110397.3087315569</v>
      </c>
      <c r="L17" s="685">
        <v>183.88261601522601</v>
      </c>
    </row>
    <row r="18" spans="1:12">
      <c r="A18" s="504">
        <v>12</v>
      </c>
      <c r="B18" s="520" t="s">
        <v>528</v>
      </c>
      <c r="C18" s="686">
        <f t="shared" si="0"/>
        <v>116255616.6465389</v>
      </c>
      <c r="D18" s="673">
        <v>111152552.99878937</v>
      </c>
      <c r="E18" s="673">
        <v>4573745.9235883011</v>
      </c>
      <c r="F18" s="685">
        <v>510666.21416121285</v>
      </c>
      <c r="G18" s="685">
        <v>18651.509999999998</v>
      </c>
      <c r="H18" s="673">
        <f t="shared" si="1"/>
        <v>1827762.8552917801</v>
      </c>
      <c r="I18" s="685">
        <v>788311.04276397661</v>
      </c>
      <c r="J18" s="685">
        <v>618948.47163397796</v>
      </c>
      <c r="K18" s="685">
        <v>420295.99545569223</v>
      </c>
      <c r="L18" s="685">
        <v>207.34543813315</v>
      </c>
    </row>
    <row r="19" spans="1:12">
      <c r="A19" s="504">
        <v>13</v>
      </c>
      <c r="B19" s="520" t="s">
        <v>529</v>
      </c>
      <c r="C19" s="686">
        <f t="shared" si="0"/>
        <v>15974960.060820945</v>
      </c>
      <c r="D19" s="673">
        <v>15384012.843434036</v>
      </c>
      <c r="E19" s="673">
        <v>525898.77872583992</v>
      </c>
      <c r="F19" s="685">
        <v>65048.4386610687</v>
      </c>
      <c r="G19" s="685"/>
      <c r="H19" s="673">
        <f t="shared" si="1"/>
        <v>249668.86212222808</v>
      </c>
      <c r="I19" s="685">
        <v>114418.91070060259</v>
      </c>
      <c r="J19" s="685">
        <v>80158.893246904059</v>
      </c>
      <c r="K19" s="685">
        <v>55091.058174721416</v>
      </c>
      <c r="L19" s="685"/>
    </row>
    <row r="20" spans="1:12">
      <c r="A20" s="504">
        <v>14</v>
      </c>
      <c r="B20" s="520" t="s">
        <v>530</v>
      </c>
      <c r="C20" s="686">
        <f t="shared" si="0"/>
        <v>53195914.994544327</v>
      </c>
      <c r="D20" s="673">
        <v>49514653.607390635</v>
      </c>
      <c r="E20" s="673">
        <v>3579083.3425408895</v>
      </c>
      <c r="F20" s="685">
        <v>102178.04461280486</v>
      </c>
      <c r="G20" s="685"/>
      <c r="H20" s="673">
        <f t="shared" si="1"/>
        <v>672360.18736909877</v>
      </c>
      <c r="I20" s="685">
        <v>220717.65453571579</v>
      </c>
      <c r="J20" s="685">
        <v>368621.94062029914</v>
      </c>
      <c r="K20" s="685">
        <v>83020.592213083844</v>
      </c>
      <c r="L20" s="685"/>
    </row>
    <row r="21" spans="1:12">
      <c r="A21" s="504">
        <v>15</v>
      </c>
      <c r="B21" s="520" t="s">
        <v>531</v>
      </c>
      <c r="C21" s="686">
        <f t="shared" si="0"/>
        <v>34191470.353901833</v>
      </c>
      <c r="D21" s="673">
        <v>30236658.801209502</v>
      </c>
      <c r="E21" s="673">
        <v>3746415.5629663393</v>
      </c>
      <c r="F21" s="685">
        <v>189068.15972599329</v>
      </c>
      <c r="G21" s="685">
        <v>19327.830000000002</v>
      </c>
      <c r="H21" s="673">
        <f t="shared" si="1"/>
        <v>844803.92814146285</v>
      </c>
      <c r="I21" s="685">
        <v>260148.03822281075</v>
      </c>
      <c r="J21" s="685">
        <v>428615.13644376176</v>
      </c>
      <c r="K21" s="685">
        <v>153546.23103157053</v>
      </c>
      <c r="L21" s="685">
        <v>2494.5224433198919</v>
      </c>
    </row>
    <row r="22" spans="1:12">
      <c r="A22" s="504">
        <v>16</v>
      </c>
      <c r="B22" s="520" t="s">
        <v>532</v>
      </c>
      <c r="C22" s="686">
        <f t="shared" si="0"/>
        <v>10155436.293216329</v>
      </c>
      <c r="D22" s="673">
        <v>9783301.3295629099</v>
      </c>
      <c r="E22" s="673">
        <v>325200.86503190454</v>
      </c>
      <c r="F22" s="685">
        <v>46934.098621513753</v>
      </c>
      <c r="G22" s="685"/>
      <c r="H22" s="673">
        <f t="shared" si="1"/>
        <v>161700.33876138067</v>
      </c>
      <c r="I22" s="685">
        <v>82342.491813403743</v>
      </c>
      <c r="J22" s="685">
        <v>39765.104144598903</v>
      </c>
      <c r="K22" s="685">
        <v>39592.742803378023</v>
      </c>
      <c r="L22" s="685"/>
    </row>
    <row r="23" spans="1:12">
      <c r="A23" s="504">
        <v>17</v>
      </c>
      <c r="B23" s="520" t="s">
        <v>533</v>
      </c>
      <c r="C23" s="686">
        <f t="shared" si="0"/>
        <v>800686.18327907007</v>
      </c>
      <c r="D23" s="673">
        <v>766620.90726385347</v>
      </c>
      <c r="E23" s="673">
        <v>29500.026015216641</v>
      </c>
      <c r="F23" s="685">
        <v>4565.25</v>
      </c>
      <c r="G23" s="685"/>
      <c r="H23" s="673">
        <f t="shared" si="1"/>
        <v>16389.640343454445</v>
      </c>
      <c r="I23" s="685">
        <v>7715.9078645954287</v>
      </c>
      <c r="J23" s="685">
        <v>4825.6198451102318</v>
      </c>
      <c r="K23" s="685">
        <v>3848.1126337487835</v>
      </c>
      <c r="L23" s="685"/>
    </row>
    <row r="24" spans="1:12">
      <c r="A24" s="504">
        <v>18</v>
      </c>
      <c r="B24" s="520" t="s">
        <v>534</v>
      </c>
      <c r="C24" s="686">
        <f t="shared" si="0"/>
        <v>3176200.4936448568</v>
      </c>
      <c r="D24" s="673">
        <v>3001946.3452673783</v>
      </c>
      <c r="E24" s="673">
        <v>162025.27938969503</v>
      </c>
      <c r="F24" s="685">
        <v>12228.868987783564</v>
      </c>
      <c r="G24" s="685"/>
      <c r="H24" s="673">
        <f t="shared" si="1"/>
        <v>60619.858864641035</v>
      </c>
      <c r="I24" s="685">
        <v>32096.213213489336</v>
      </c>
      <c r="J24" s="685">
        <v>18149.528118811399</v>
      </c>
      <c r="K24" s="685">
        <v>10374.117532340302</v>
      </c>
      <c r="L24" s="685"/>
    </row>
    <row r="25" spans="1:12">
      <c r="A25" s="504">
        <v>19</v>
      </c>
      <c r="B25" s="520" t="s">
        <v>535</v>
      </c>
      <c r="C25" s="686">
        <f t="shared" si="0"/>
        <v>5303481.5833448637</v>
      </c>
      <c r="D25" s="673">
        <v>5209778.2681594696</v>
      </c>
      <c r="E25" s="673">
        <v>75885.979928321773</v>
      </c>
      <c r="F25" s="685">
        <v>17817.33525707234</v>
      </c>
      <c r="G25" s="685"/>
      <c r="H25" s="673">
        <f t="shared" si="1"/>
        <v>66665.129092589836</v>
      </c>
      <c r="I25" s="685">
        <v>40153.788949845257</v>
      </c>
      <c r="J25" s="685">
        <v>11305.828748933694</v>
      </c>
      <c r="K25" s="685">
        <v>15205.511393810879</v>
      </c>
      <c r="L25" s="685"/>
    </row>
    <row r="26" spans="1:12">
      <c r="A26" s="504">
        <v>20</v>
      </c>
      <c r="B26" s="520" t="s">
        <v>536</v>
      </c>
      <c r="C26" s="686">
        <f t="shared" si="0"/>
        <v>15450004.742853757</v>
      </c>
      <c r="D26" s="673">
        <v>15222188.246919578</v>
      </c>
      <c r="E26" s="673">
        <v>207930.72537731487</v>
      </c>
      <c r="F26" s="685">
        <v>14128.840556863208</v>
      </c>
      <c r="G26" s="685">
        <v>5756.93</v>
      </c>
      <c r="H26" s="673">
        <f t="shared" si="1"/>
        <v>155686.25038017723</v>
      </c>
      <c r="I26" s="685">
        <v>115663.31036586421</v>
      </c>
      <c r="J26" s="685">
        <v>27948.01302308463</v>
      </c>
      <c r="K26" s="685">
        <v>12010.928249402554</v>
      </c>
      <c r="L26" s="685">
        <v>63.998741825829498</v>
      </c>
    </row>
    <row r="27" spans="1:12">
      <c r="A27" s="504">
        <v>21</v>
      </c>
      <c r="B27" s="520" t="s">
        <v>537</v>
      </c>
      <c r="C27" s="686">
        <f t="shared" si="0"/>
        <v>1901653.0880388499</v>
      </c>
      <c r="D27" s="673">
        <v>1863266.3133634033</v>
      </c>
      <c r="E27" s="673">
        <v>9094.106842638299</v>
      </c>
      <c r="F27" s="685">
        <v>29292.667832808358</v>
      </c>
      <c r="G27" s="685"/>
      <c r="H27" s="673">
        <f t="shared" si="1"/>
        <v>41523.410045211</v>
      </c>
      <c r="I27" s="685">
        <v>15443.566131289201</v>
      </c>
      <c r="J27" s="685">
        <v>1298.333774128695</v>
      </c>
      <c r="K27" s="685">
        <v>24781.510139793099</v>
      </c>
      <c r="L27" s="685"/>
    </row>
    <row r="28" spans="1:12">
      <c r="A28" s="504">
        <v>22</v>
      </c>
      <c r="B28" s="520" t="s">
        <v>538</v>
      </c>
      <c r="C28" s="686">
        <f t="shared" si="0"/>
        <v>777446.49890222517</v>
      </c>
      <c r="D28" s="673">
        <v>757996.54963025136</v>
      </c>
      <c r="E28" s="673">
        <v>15289.084011293999</v>
      </c>
      <c r="F28" s="685">
        <v>4160.8652606798896</v>
      </c>
      <c r="G28" s="685"/>
      <c r="H28" s="673">
        <f t="shared" si="1"/>
        <v>12754.660989262475</v>
      </c>
      <c r="I28" s="685">
        <v>7666.3222698630852</v>
      </c>
      <c r="J28" s="685">
        <v>1581.0404011609812</v>
      </c>
      <c r="K28" s="685">
        <v>3507.2983182384087</v>
      </c>
      <c r="L28" s="685"/>
    </row>
    <row r="29" spans="1:12">
      <c r="A29" s="504">
        <v>23</v>
      </c>
      <c r="B29" s="520" t="s">
        <v>539</v>
      </c>
      <c r="C29" s="686">
        <f t="shared" si="0"/>
        <v>459232888.30021244</v>
      </c>
      <c r="D29" s="673">
        <v>438143169.82687557</v>
      </c>
      <c r="E29" s="673">
        <v>16682771.017130986</v>
      </c>
      <c r="F29" s="685">
        <v>4382226.9062058721</v>
      </c>
      <c r="G29" s="685">
        <v>24720.55</v>
      </c>
      <c r="H29" s="673">
        <f t="shared" si="1"/>
        <v>10157822.18001998</v>
      </c>
      <c r="I29" s="685">
        <v>3905829.9180793851</v>
      </c>
      <c r="J29" s="685">
        <v>2705643.0058224262</v>
      </c>
      <c r="K29" s="685">
        <v>3545847.7332478631</v>
      </c>
      <c r="L29" s="685">
        <v>501.52287030681799</v>
      </c>
    </row>
    <row r="30" spans="1:12">
      <c r="A30" s="504">
        <v>24</v>
      </c>
      <c r="B30" s="520" t="s">
        <v>540</v>
      </c>
      <c r="C30" s="686">
        <f t="shared" si="0"/>
        <v>782754815.72749817</v>
      </c>
      <c r="D30" s="673">
        <v>747460816.70503318</v>
      </c>
      <c r="E30" s="673">
        <v>29615810.88783342</v>
      </c>
      <c r="F30" s="685">
        <v>5628646.2446314991</v>
      </c>
      <c r="G30" s="685">
        <v>49541.89</v>
      </c>
      <c r="H30" s="673">
        <f t="shared" si="1"/>
        <v>15397438.190108979</v>
      </c>
      <c r="I30" s="685">
        <v>6355893.961660035</v>
      </c>
      <c r="J30" s="685">
        <v>4329060.4595178561</v>
      </c>
      <c r="K30" s="685">
        <v>4711870.5926235411</v>
      </c>
      <c r="L30" s="685">
        <v>613.17630754753918</v>
      </c>
    </row>
    <row r="31" spans="1:12">
      <c r="A31" s="504">
        <v>25</v>
      </c>
      <c r="B31" s="520" t="s">
        <v>541</v>
      </c>
      <c r="C31" s="686">
        <f t="shared" si="0"/>
        <v>152124029.91647324</v>
      </c>
      <c r="D31" s="673">
        <v>147175222.49907836</v>
      </c>
      <c r="E31" s="673">
        <v>4014673.170646322</v>
      </c>
      <c r="F31" s="685">
        <v>915282.07674856891</v>
      </c>
      <c r="G31" s="685">
        <v>18852.169999999998</v>
      </c>
      <c r="H31" s="673">
        <f t="shared" si="1"/>
        <v>2600120.1265289029</v>
      </c>
      <c r="I31" s="685">
        <v>1188053.6184071954</v>
      </c>
      <c r="J31" s="685">
        <v>638377.28128837538</v>
      </c>
      <c r="K31" s="685">
        <v>773480.1912898029</v>
      </c>
      <c r="L31" s="685">
        <v>209.03554352932815</v>
      </c>
    </row>
    <row r="32" spans="1:12">
      <c r="A32" s="504">
        <v>26</v>
      </c>
      <c r="B32" s="520" t="s">
        <v>597</v>
      </c>
      <c r="C32" s="686">
        <f t="shared" si="0"/>
        <v>60374970.988894798</v>
      </c>
      <c r="D32" s="673">
        <v>58021340.298537515</v>
      </c>
      <c r="E32" s="673">
        <v>2017078.4798630096</v>
      </c>
      <c r="F32" s="685">
        <v>327913.77049427474</v>
      </c>
      <c r="G32" s="685">
        <v>8638.44</v>
      </c>
      <c r="H32" s="673">
        <f t="shared" si="1"/>
        <v>1203871.7087847341</v>
      </c>
      <c r="I32" s="685">
        <v>625450.32927415404</v>
      </c>
      <c r="J32" s="685">
        <v>300847.0181194935</v>
      </c>
      <c r="K32" s="685">
        <v>277478.32942763757</v>
      </c>
      <c r="L32" s="685">
        <v>96.031963448907405</v>
      </c>
    </row>
    <row r="33" spans="1:12">
      <c r="A33" s="504">
        <v>27</v>
      </c>
      <c r="B33" s="570" t="s">
        <v>66</v>
      </c>
      <c r="C33" s="687">
        <f t="shared" si="0"/>
        <v>2023761810.5290494</v>
      </c>
      <c r="D33" s="680">
        <f>SUM(D7:D32)</f>
        <v>1934597313.9321063</v>
      </c>
      <c r="E33" s="680">
        <f t="shared" ref="E33:G33" si="2">SUM(E7:E32)</f>
        <v>74925429.675816178</v>
      </c>
      <c r="F33" s="680">
        <f t="shared" si="2"/>
        <v>14048225.901126863</v>
      </c>
      <c r="G33" s="680">
        <f t="shared" si="2"/>
        <v>190841.02000000002</v>
      </c>
      <c r="H33" s="672">
        <f t="shared" ref="H33" si="3">SUM(I33:L33)</f>
        <v>38615758.243158981</v>
      </c>
      <c r="I33" s="680">
        <f t="shared" ref="I33" si="4">SUM(I7:I32)</f>
        <v>16053595.198342169</v>
      </c>
      <c r="J33" s="680">
        <f t="shared" ref="J33" si="5">SUM(J7:J32)</f>
        <v>10927812.403521044</v>
      </c>
      <c r="K33" s="680">
        <f t="shared" ref="K33" si="6">SUM(K7:K32)</f>
        <v>11629660.089198103</v>
      </c>
      <c r="L33" s="680">
        <f t="shared" ref="L33" si="7">SUM(L7:L32)</f>
        <v>4690.5520976644893</v>
      </c>
    </row>
    <row r="35" spans="1:12">
      <c r="B35" s="569"/>
      <c r="C35" s="569"/>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80" zoomScaleNormal="80" workbookViewId="0">
      <selection activeCell="C6" sqref="C6:K11"/>
    </sheetView>
  </sheetViews>
  <sheetFormatPr defaultColWidth="8.77734375" defaultRowHeight="12"/>
  <cols>
    <col min="1" max="1" width="11.77734375" style="399" bestFit="1" customWidth="1"/>
    <col min="2" max="2" width="59.21875" style="399" customWidth="1"/>
    <col min="3" max="3" width="18.88671875" style="399" bestFit="1" customWidth="1"/>
    <col min="4" max="4" width="25.77734375" style="399" bestFit="1" customWidth="1"/>
    <col min="5" max="5" width="23" style="399" bestFit="1" customWidth="1"/>
    <col min="6" max="6" width="25.109375" style="399" bestFit="1" customWidth="1"/>
    <col min="7" max="7" width="18.21875" style="399" bestFit="1" customWidth="1"/>
    <col min="8" max="8" width="25.5546875" style="399" bestFit="1" customWidth="1"/>
    <col min="9" max="9" width="22.5546875" style="399" bestFit="1" customWidth="1"/>
    <col min="10" max="10" width="18.21875" style="399" bestFit="1" customWidth="1"/>
    <col min="11" max="11" width="21.109375" style="399" bestFit="1" customWidth="1"/>
    <col min="12" max="16384" width="8.77734375" style="399"/>
  </cols>
  <sheetData>
    <row r="1" spans="1:11" s="392" customFormat="1" ht="13.8">
      <c r="A1" s="391" t="s">
        <v>108</v>
      </c>
      <c r="B1" s="310" t="str">
        <f>Info!C2</f>
        <v>კრედო</v>
      </c>
      <c r="C1" s="517"/>
      <c r="D1" s="517"/>
      <c r="E1" s="517"/>
      <c r="F1" s="517"/>
      <c r="G1" s="517"/>
      <c r="H1" s="517"/>
      <c r="I1" s="517"/>
      <c r="J1" s="517"/>
      <c r="K1" s="517"/>
    </row>
    <row r="2" spans="1:11" s="392" customFormat="1">
      <c r="A2" s="391" t="s">
        <v>109</v>
      </c>
      <c r="B2" s="394">
        <f>'1. key ratios'!B2</f>
        <v>45291</v>
      </c>
      <c r="C2" s="517"/>
      <c r="D2" s="517"/>
      <c r="E2" s="517"/>
      <c r="F2" s="517"/>
      <c r="G2" s="517"/>
      <c r="H2" s="517"/>
      <c r="I2" s="517"/>
      <c r="J2" s="517"/>
      <c r="K2" s="517"/>
    </row>
    <row r="3" spans="1:11" s="392" customFormat="1">
      <c r="A3" s="393" t="s">
        <v>598</v>
      </c>
      <c r="B3" s="517"/>
      <c r="C3" s="517"/>
      <c r="D3" s="517"/>
      <c r="E3" s="517"/>
      <c r="F3" s="517"/>
      <c r="G3" s="517"/>
      <c r="H3" s="517"/>
      <c r="I3" s="517"/>
      <c r="J3" s="517"/>
      <c r="K3" s="517"/>
    </row>
    <row r="4" spans="1:11">
      <c r="A4" s="574"/>
      <c r="B4" s="574"/>
      <c r="C4" s="573" t="s">
        <v>502</v>
      </c>
      <c r="D4" s="573" t="s">
        <v>503</v>
      </c>
      <c r="E4" s="573" t="s">
        <v>504</v>
      </c>
      <c r="F4" s="573" t="s">
        <v>505</v>
      </c>
      <c r="G4" s="573" t="s">
        <v>506</v>
      </c>
      <c r="H4" s="573" t="s">
        <v>507</v>
      </c>
      <c r="I4" s="573" t="s">
        <v>508</v>
      </c>
      <c r="J4" s="573" t="s">
        <v>509</v>
      </c>
      <c r="K4" s="573" t="s">
        <v>510</v>
      </c>
    </row>
    <row r="5" spans="1:11" ht="103.95" customHeight="1">
      <c r="A5" s="935" t="s">
        <v>910</v>
      </c>
      <c r="B5" s="936"/>
      <c r="C5" s="572" t="s">
        <v>599</v>
      </c>
      <c r="D5" s="572" t="s">
        <v>592</v>
      </c>
      <c r="E5" s="572" t="s">
        <v>593</v>
      </c>
      <c r="F5" s="572" t="s">
        <v>909</v>
      </c>
      <c r="G5" s="572" t="s">
        <v>600</v>
      </c>
      <c r="H5" s="572" t="s">
        <v>601</v>
      </c>
      <c r="I5" s="572" t="s">
        <v>602</v>
      </c>
      <c r="J5" s="572" t="s">
        <v>603</v>
      </c>
      <c r="K5" s="572" t="s">
        <v>604</v>
      </c>
    </row>
    <row r="6" spans="1:11" ht="13.8">
      <c r="A6" s="504">
        <v>1</v>
      </c>
      <c r="B6" s="504" t="s">
        <v>605</v>
      </c>
      <c r="C6" s="693">
        <v>6984769.435000997</v>
      </c>
      <c r="D6" s="776">
        <v>87718.399999999994</v>
      </c>
      <c r="E6" s="693"/>
      <c r="F6" s="693">
        <v>814.87824824873701</v>
      </c>
      <c r="G6" s="693">
        <v>563603261</v>
      </c>
      <c r="H6" s="693"/>
      <c r="I6" s="693">
        <v>81988635.994290426</v>
      </c>
      <c r="J6" s="693">
        <v>266105287.2968725</v>
      </c>
      <c r="K6" s="693">
        <v>1104991323.5246179</v>
      </c>
    </row>
    <row r="7" spans="1:11" ht="13.8">
      <c r="A7" s="504">
        <v>2</v>
      </c>
      <c r="B7" s="504" t="s">
        <v>606</v>
      </c>
      <c r="C7" s="744"/>
      <c r="D7" s="744"/>
      <c r="E7" s="744"/>
      <c r="F7" s="744"/>
      <c r="G7" s="744"/>
      <c r="H7" s="744"/>
      <c r="I7" s="744"/>
      <c r="J7" s="744"/>
      <c r="K7" s="744"/>
    </row>
    <row r="8" spans="1:11" ht="13.8">
      <c r="A8" s="504">
        <v>3</v>
      </c>
      <c r="B8" s="504" t="s">
        <v>570</v>
      </c>
      <c r="C8" s="693">
        <v>1344700</v>
      </c>
      <c r="D8" s="744"/>
      <c r="E8" s="744"/>
      <c r="F8" s="744"/>
      <c r="G8" s="693">
        <v>429000</v>
      </c>
      <c r="H8" s="744"/>
      <c r="I8" s="744"/>
      <c r="J8" s="744"/>
      <c r="K8" s="693">
        <v>54425864</v>
      </c>
    </row>
    <row r="9" spans="1:11" ht="13.8">
      <c r="A9" s="504">
        <v>4</v>
      </c>
      <c r="B9" s="524" t="s">
        <v>908</v>
      </c>
      <c r="C9" s="745"/>
      <c r="D9" s="744"/>
      <c r="E9" s="745"/>
      <c r="F9" s="745"/>
      <c r="G9" s="743">
        <v>1167413</v>
      </c>
      <c r="H9" s="745"/>
      <c r="I9" s="743">
        <v>294671.34355737676</v>
      </c>
      <c r="J9" s="743">
        <v>1595554.0725061954</v>
      </c>
      <c r="K9" s="743">
        <v>11181428.728308327</v>
      </c>
    </row>
    <row r="10" spans="1:11" ht="13.8">
      <c r="A10" s="504">
        <v>5</v>
      </c>
      <c r="B10" s="524" t="s">
        <v>907</v>
      </c>
      <c r="C10" s="745"/>
      <c r="D10" s="745"/>
      <c r="E10" s="745"/>
      <c r="F10" s="745"/>
      <c r="G10" s="745"/>
      <c r="H10" s="745"/>
      <c r="I10" s="745"/>
      <c r="J10" s="745"/>
      <c r="K10" s="745"/>
    </row>
    <row r="11" spans="1:11" ht="13.8">
      <c r="A11" s="504">
        <v>6</v>
      </c>
      <c r="B11" s="524" t="s">
        <v>906</v>
      </c>
      <c r="C11" s="745"/>
      <c r="D11" s="745"/>
      <c r="E11" s="745"/>
      <c r="F11" s="745"/>
      <c r="G11" s="745"/>
      <c r="H11" s="745"/>
      <c r="I11" s="745"/>
      <c r="J11" s="745"/>
      <c r="K11" s="745"/>
    </row>
    <row r="12" spans="1:11">
      <c r="C12" s="746"/>
      <c r="D12" s="746"/>
      <c r="E12" s="746"/>
      <c r="F12" s="746"/>
      <c r="G12" s="746"/>
      <c r="H12" s="746"/>
      <c r="I12" s="746"/>
      <c r="J12" s="746"/>
      <c r="K12" s="746"/>
    </row>
    <row r="13" spans="1:11" ht="13.8">
      <c r="B13" s="571"/>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B1" zoomScale="85" zoomScaleNormal="85" workbookViewId="0">
      <pane xSplit="1" topLeftCell="C1" activePane="topRight" state="frozen"/>
      <selection activeCell="B4" sqref="B4"/>
      <selection pane="topRight" activeCell="W24" sqref="W24"/>
    </sheetView>
  </sheetViews>
  <sheetFormatPr defaultColWidth="8.77734375" defaultRowHeight="14.4"/>
  <cols>
    <col min="1" max="1" width="10" style="575" hidden="1" customWidth="1"/>
    <col min="2" max="2" width="71.77734375" style="575" customWidth="1"/>
    <col min="3" max="3" width="12.21875" style="575" bestFit="1" customWidth="1"/>
    <col min="4" max="5" width="15.21875" style="575" bestFit="1" customWidth="1"/>
    <col min="6" max="6" width="20" style="575" bestFit="1" customWidth="1"/>
    <col min="7" max="7" width="29.88671875" style="575" customWidth="1"/>
    <col min="8" max="8" width="12.21875" style="575" bestFit="1" customWidth="1"/>
    <col min="9" max="10" width="15.21875" style="575" bestFit="1" customWidth="1"/>
    <col min="11" max="11" width="20" style="575" bestFit="1" customWidth="1"/>
    <col min="12" max="12" width="23.33203125" style="575" customWidth="1"/>
    <col min="13" max="13" width="10.6640625" style="575" bestFit="1" customWidth="1"/>
    <col min="14" max="15" width="15.21875" style="575" bestFit="1" customWidth="1"/>
    <col min="16" max="16" width="20" style="575" bestFit="1" customWidth="1"/>
    <col min="17" max="17" width="25.5546875" style="575" customWidth="1"/>
    <col min="18" max="18" width="18" style="575" bestFit="1" customWidth="1"/>
    <col min="19" max="19" width="28.33203125" style="575" customWidth="1"/>
    <col min="20" max="20" width="23" style="575" customWidth="1"/>
    <col min="21" max="21" width="22.33203125" style="575" customWidth="1"/>
    <col min="22" max="22" width="22.21875" style="575" customWidth="1"/>
    <col min="23" max="16384" width="8.77734375" style="575"/>
  </cols>
  <sheetData>
    <row r="1" spans="1:22">
      <c r="A1" s="391" t="s">
        <v>108</v>
      </c>
      <c r="B1" s="310" t="str">
        <f>Info!C2</f>
        <v>კრედო</v>
      </c>
    </row>
    <row r="2" spans="1:22">
      <c r="A2" s="391" t="s">
        <v>109</v>
      </c>
      <c r="B2" s="394">
        <f>'1. key ratios'!B2</f>
        <v>45291</v>
      </c>
    </row>
    <row r="3" spans="1:22">
      <c r="A3" s="393" t="s">
        <v>690</v>
      </c>
      <c r="B3" s="517"/>
    </row>
    <row r="4" spans="1:22">
      <c r="A4" s="393"/>
      <c r="B4" s="517"/>
    </row>
    <row r="5" spans="1:22" ht="24" customHeight="1">
      <c r="A5" s="937" t="s">
        <v>718</v>
      </c>
      <c r="B5" s="937"/>
      <c r="C5" s="939" t="s">
        <v>912</v>
      </c>
      <c r="D5" s="939"/>
      <c r="E5" s="939"/>
      <c r="F5" s="939"/>
      <c r="G5" s="939"/>
      <c r="H5" s="939" t="s">
        <v>596</v>
      </c>
      <c r="I5" s="939"/>
      <c r="J5" s="939"/>
      <c r="K5" s="939"/>
      <c r="L5" s="939"/>
      <c r="M5" s="939" t="s">
        <v>911</v>
      </c>
      <c r="N5" s="939"/>
      <c r="O5" s="939"/>
      <c r="P5" s="939"/>
      <c r="Q5" s="939"/>
      <c r="R5" s="938" t="s">
        <v>716</v>
      </c>
      <c r="S5" s="938" t="s">
        <v>721</v>
      </c>
      <c r="T5" s="938" t="s">
        <v>720</v>
      </c>
      <c r="U5" s="938" t="s">
        <v>992</v>
      </c>
      <c r="V5" s="938" t="s">
        <v>993</v>
      </c>
    </row>
    <row r="6" spans="1:22" ht="36" customHeight="1">
      <c r="A6" s="937"/>
      <c r="B6" s="937"/>
      <c r="C6" s="584"/>
      <c r="D6" s="515" t="s">
        <v>895</v>
      </c>
      <c r="E6" s="515" t="s">
        <v>894</v>
      </c>
      <c r="F6" s="515" t="s">
        <v>893</v>
      </c>
      <c r="G6" s="515" t="s">
        <v>892</v>
      </c>
      <c r="H6" s="584"/>
      <c r="I6" s="515" t="s">
        <v>895</v>
      </c>
      <c r="J6" s="515" t="s">
        <v>894</v>
      </c>
      <c r="K6" s="515" t="s">
        <v>893</v>
      </c>
      <c r="L6" s="515" t="s">
        <v>892</v>
      </c>
      <c r="M6" s="584"/>
      <c r="N6" s="515" t="s">
        <v>895</v>
      </c>
      <c r="O6" s="515" t="s">
        <v>894</v>
      </c>
      <c r="P6" s="515" t="s">
        <v>893</v>
      </c>
      <c r="Q6" s="515" t="s">
        <v>892</v>
      </c>
      <c r="R6" s="938"/>
      <c r="S6" s="938"/>
      <c r="T6" s="938"/>
      <c r="U6" s="938"/>
      <c r="V6" s="938"/>
    </row>
    <row r="7" spans="1:22">
      <c r="A7" s="579">
        <v>1</v>
      </c>
      <c r="B7" s="583" t="s">
        <v>691</v>
      </c>
      <c r="C7" s="749">
        <f>SUM(D7:G7)</f>
        <v>22507587.609999999</v>
      </c>
      <c r="D7" s="747">
        <v>22175197.239999998</v>
      </c>
      <c r="E7" s="747">
        <v>241596.66</v>
      </c>
      <c r="F7" s="747">
        <v>62900.77</v>
      </c>
      <c r="G7" s="747">
        <v>27892.94</v>
      </c>
      <c r="H7" s="749">
        <f>SUM(I7:L7)</f>
        <v>22722320.210000001</v>
      </c>
      <c r="I7" s="747">
        <v>22361310.73</v>
      </c>
      <c r="J7" s="747">
        <v>252718.46</v>
      </c>
      <c r="K7" s="747">
        <v>80263.320000000007</v>
      </c>
      <c r="L7" s="747">
        <v>28027.7</v>
      </c>
      <c r="M7" s="749">
        <f>SUM(N7:Q7)</f>
        <v>358945.9</v>
      </c>
      <c r="N7" s="747">
        <v>226412.52</v>
      </c>
      <c r="O7" s="747">
        <v>64598.93</v>
      </c>
      <c r="P7" s="747">
        <v>67695.61</v>
      </c>
      <c r="Q7" s="747">
        <v>238.84</v>
      </c>
      <c r="R7" s="747">
        <v>13744</v>
      </c>
      <c r="S7" s="812">
        <v>0.2369847602327958</v>
      </c>
      <c r="T7" s="753">
        <v>0.30999999999999994</v>
      </c>
      <c r="U7" s="753">
        <v>0.23</v>
      </c>
      <c r="V7" s="747">
        <v>38.016706999999997</v>
      </c>
    </row>
    <row r="8" spans="1:22">
      <c r="A8" s="579">
        <v>2</v>
      </c>
      <c r="B8" s="582" t="s">
        <v>692</v>
      </c>
      <c r="C8" s="749">
        <f t="shared" ref="C8:C18" si="0">SUM(D8:G8)</f>
        <v>900919103.96000004</v>
      </c>
      <c r="D8" s="747">
        <v>854516812.77999997</v>
      </c>
      <c r="E8" s="747">
        <v>40673284.950000003</v>
      </c>
      <c r="F8" s="747">
        <v>5665171.4899999993</v>
      </c>
      <c r="G8" s="747">
        <v>63834.74</v>
      </c>
      <c r="H8" s="749">
        <f t="shared" ref="H8:H18" si="1">SUM(I8:L8)</f>
        <v>897512283.82999992</v>
      </c>
      <c r="I8" s="747">
        <v>847468217.25999999</v>
      </c>
      <c r="J8" s="747">
        <v>42937970.93</v>
      </c>
      <c r="K8" s="747">
        <v>7042207.9799999995</v>
      </c>
      <c r="L8" s="747">
        <v>63887.66</v>
      </c>
      <c r="M8" s="749">
        <f t="shared" ref="M8:M18" si="2">SUM(N8:Q8)</f>
        <v>20550869.229999997</v>
      </c>
      <c r="N8" s="747">
        <v>8282197.2599999998</v>
      </c>
      <c r="O8" s="747">
        <v>6368457.46</v>
      </c>
      <c r="P8" s="747">
        <v>5899431.04</v>
      </c>
      <c r="Q8" s="747">
        <v>783.47</v>
      </c>
      <c r="R8" s="751">
        <v>180178</v>
      </c>
      <c r="S8" s="812">
        <v>0.2457583080793089</v>
      </c>
      <c r="T8" s="753">
        <v>0.34151661615861778</v>
      </c>
      <c r="U8" s="753">
        <v>0.23</v>
      </c>
      <c r="V8" s="747">
        <v>35.380222000000003</v>
      </c>
    </row>
    <row r="9" spans="1:22">
      <c r="A9" s="579">
        <v>3</v>
      </c>
      <c r="B9" s="582" t="s">
        <v>693</v>
      </c>
      <c r="C9" s="749">
        <f t="shared" si="0"/>
        <v>0</v>
      </c>
      <c r="D9" s="747">
        <v>0</v>
      </c>
      <c r="E9" s="747">
        <v>0</v>
      </c>
      <c r="F9" s="747">
        <v>0</v>
      </c>
      <c r="G9" s="747">
        <v>0</v>
      </c>
      <c r="H9" s="749">
        <f t="shared" si="1"/>
        <v>0</v>
      </c>
      <c r="I9" s="747">
        <v>0</v>
      </c>
      <c r="J9" s="747">
        <v>0</v>
      </c>
      <c r="K9" s="747">
        <v>0</v>
      </c>
      <c r="L9" s="747">
        <v>0</v>
      </c>
      <c r="M9" s="749">
        <f t="shared" si="2"/>
        <v>0</v>
      </c>
      <c r="N9" s="747">
        <v>0</v>
      </c>
      <c r="O9" s="747">
        <v>0</v>
      </c>
      <c r="P9" s="747">
        <v>0</v>
      </c>
      <c r="Q9" s="747">
        <v>0</v>
      </c>
      <c r="R9" s="747">
        <v>0</v>
      </c>
      <c r="S9" s="812"/>
      <c r="T9" s="753"/>
      <c r="U9" s="753"/>
      <c r="V9" s="747"/>
    </row>
    <row r="10" spans="1:22">
      <c r="A10" s="579">
        <v>4</v>
      </c>
      <c r="B10" s="582" t="s">
        <v>694</v>
      </c>
      <c r="C10" s="749">
        <f t="shared" si="0"/>
        <v>205542049.50999999</v>
      </c>
      <c r="D10" s="747">
        <v>201448163.06999999</v>
      </c>
      <c r="E10" s="747">
        <v>2669285.21</v>
      </c>
      <c r="F10" s="747">
        <v>1424601.23</v>
      </c>
      <c r="G10" s="747">
        <v>0</v>
      </c>
      <c r="H10" s="749">
        <f t="shared" si="1"/>
        <v>206354710.74000001</v>
      </c>
      <c r="I10" s="747">
        <v>201494385.97999999</v>
      </c>
      <c r="J10" s="747">
        <v>2866217.58</v>
      </c>
      <c r="K10" s="747">
        <v>1994107.18</v>
      </c>
      <c r="L10" s="747">
        <v>0</v>
      </c>
      <c r="M10" s="749">
        <f t="shared" si="2"/>
        <v>4966423.59</v>
      </c>
      <c r="N10" s="747">
        <v>2620897.56</v>
      </c>
      <c r="O10" s="747">
        <v>664665.39</v>
      </c>
      <c r="P10" s="747">
        <v>1680860.64</v>
      </c>
      <c r="Q10" s="747">
        <v>0</v>
      </c>
      <c r="R10" s="751">
        <v>253446</v>
      </c>
      <c r="S10" s="812">
        <v>6.2260076966370884E-2</v>
      </c>
      <c r="T10" s="753">
        <v>0.1969747295862303</v>
      </c>
      <c r="U10" s="753">
        <v>0.06</v>
      </c>
      <c r="V10" s="747">
        <v>11.974199</v>
      </c>
    </row>
    <row r="11" spans="1:22">
      <c r="A11" s="579">
        <v>5</v>
      </c>
      <c r="B11" s="582" t="s">
        <v>695</v>
      </c>
      <c r="C11" s="749">
        <f t="shared" si="0"/>
        <v>16714.57</v>
      </c>
      <c r="D11" s="747">
        <v>16714.57</v>
      </c>
      <c r="E11" s="747">
        <v>0</v>
      </c>
      <c r="F11" s="747">
        <v>0</v>
      </c>
      <c r="G11" s="747">
        <v>0</v>
      </c>
      <c r="H11" s="749">
        <f t="shared" si="1"/>
        <v>17058.98</v>
      </c>
      <c r="I11" s="747">
        <v>17058.98</v>
      </c>
      <c r="J11" s="747">
        <v>0</v>
      </c>
      <c r="K11" s="747">
        <v>0</v>
      </c>
      <c r="L11" s="747">
        <v>0</v>
      </c>
      <c r="M11" s="749">
        <f t="shared" si="2"/>
        <v>3619.95</v>
      </c>
      <c r="N11" s="747">
        <v>3619.95</v>
      </c>
      <c r="O11" s="747">
        <v>0</v>
      </c>
      <c r="P11" s="747">
        <v>0</v>
      </c>
      <c r="Q11" s="747">
        <v>0</v>
      </c>
      <c r="R11" s="751">
        <v>12</v>
      </c>
      <c r="S11" s="812">
        <v>0.41793133546697697</v>
      </c>
      <c r="T11" s="753">
        <v>0.52605483908283701</v>
      </c>
      <c r="U11" s="753">
        <v>0.38</v>
      </c>
      <c r="V11" s="747">
        <v>1.5764149999999999</v>
      </c>
    </row>
    <row r="12" spans="1:22">
      <c r="A12" s="579">
        <v>6</v>
      </c>
      <c r="B12" s="582" t="s">
        <v>696</v>
      </c>
      <c r="C12" s="749">
        <f t="shared" si="0"/>
        <v>28451102.489999998</v>
      </c>
      <c r="D12" s="747">
        <v>27528019.52</v>
      </c>
      <c r="E12" s="747">
        <v>424707.93</v>
      </c>
      <c r="F12" s="747">
        <v>498375.04</v>
      </c>
      <c r="G12" s="747">
        <v>0</v>
      </c>
      <c r="H12" s="749">
        <f t="shared" si="1"/>
        <v>28451301.649999999</v>
      </c>
      <c r="I12" s="747">
        <v>27527870.18</v>
      </c>
      <c r="J12" s="747">
        <v>425056.43</v>
      </c>
      <c r="K12" s="747">
        <v>498375.04</v>
      </c>
      <c r="L12" s="747">
        <v>0</v>
      </c>
      <c r="M12" s="749">
        <f t="shared" si="2"/>
        <v>1000303.1</v>
      </c>
      <c r="N12" s="747">
        <v>393937.56</v>
      </c>
      <c r="O12" s="747">
        <v>186278.3</v>
      </c>
      <c r="P12" s="747">
        <v>420087.24</v>
      </c>
      <c r="Q12" s="747">
        <v>0</v>
      </c>
      <c r="R12" s="751">
        <v>46014</v>
      </c>
      <c r="S12" s="812">
        <v>0.31422130178718982</v>
      </c>
      <c r="T12" s="753">
        <v>0.38422130178718988</v>
      </c>
      <c r="U12" s="753">
        <v>0.32</v>
      </c>
      <c r="V12" s="747">
        <v>304.424711</v>
      </c>
    </row>
    <row r="13" spans="1:22">
      <c r="A13" s="579">
        <v>7</v>
      </c>
      <c r="B13" s="582" t="s">
        <v>697</v>
      </c>
      <c r="C13" s="750">
        <f t="shared" ref="C13:L13" si="3">SUM(C14:C16)</f>
        <v>191270649.78000003</v>
      </c>
      <c r="D13" s="750">
        <f t="shared" si="3"/>
        <v>187829194.14000005</v>
      </c>
      <c r="E13" s="750">
        <f t="shared" si="3"/>
        <v>2943809.02</v>
      </c>
      <c r="F13" s="750">
        <f t="shared" si="3"/>
        <v>470287.83</v>
      </c>
      <c r="G13" s="750">
        <f t="shared" si="3"/>
        <v>27358.79</v>
      </c>
      <c r="H13" s="749">
        <f t="shared" si="1"/>
        <v>190149149.33999997</v>
      </c>
      <c r="I13" s="750">
        <f t="shared" si="3"/>
        <v>186456659.78</v>
      </c>
      <c r="J13" s="750">
        <f t="shared" si="3"/>
        <v>3094084.78</v>
      </c>
      <c r="K13" s="750">
        <f t="shared" si="3"/>
        <v>570972.89</v>
      </c>
      <c r="L13" s="750">
        <f t="shared" si="3"/>
        <v>27431.89</v>
      </c>
      <c r="M13" s="749">
        <f t="shared" si="2"/>
        <v>2026204.41</v>
      </c>
      <c r="N13" s="750">
        <f t="shared" ref="N13:R13" si="4">SUM(N14:N16)</f>
        <v>1031640.96</v>
      </c>
      <c r="O13" s="750">
        <f t="shared" si="4"/>
        <v>509581.75</v>
      </c>
      <c r="P13" s="750">
        <f t="shared" si="4"/>
        <v>484627.75</v>
      </c>
      <c r="Q13" s="750">
        <f t="shared" si="4"/>
        <v>353.95</v>
      </c>
      <c r="R13" s="750">
        <f t="shared" si="4"/>
        <v>15445</v>
      </c>
      <c r="S13" s="813">
        <v>0.19636229704292302</v>
      </c>
      <c r="T13" s="755">
        <v>0.25636229704292302</v>
      </c>
      <c r="U13" s="755">
        <v>0.18</v>
      </c>
      <c r="V13" s="750">
        <v>76.910328000000007</v>
      </c>
    </row>
    <row r="14" spans="1:22">
      <c r="A14" s="577">
        <v>7.1</v>
      </c>
      <c r="B14" s="576" t="s">
        <v>698</v>
      </c>
      <c r="C14" s="749">
        <f t="shared" si="0"/>
        <v>93047264.210000023</v>
      </c>
      <c r="D14" s="747">
        <v>92677148.230000019</v>
      </c>
      <c r="E14" s="747">
        <v>368160.14</v>
      </c>
      <c r="F14" s="747">
        <v>0</v>
      </c>
      <c r="G14" s="747">
        <v>1955.84</v>
      </c>
      <c r="H14" s="749">
        <f t="shared" si="1"/>
        <v>92613693.650000006</v>
      </c>
      <c r="I14" s="747">
        <v>92243336.25</v>
      </c>
      <c r="J14" s="747">
        <v>368401.56</v>
      </c>
      <c r="K14" s="747">
        <v>0</v>
      </c>
      <c r="L14" s="747">
        <v>1955.84</v>
      </c>
      <c r="M14" s="749">
        <f t="shared" si="2"/>
        <v>336185.65</v>
      </c>
      <c r="N14" s="747">
        <v>245093.98</v>
      </c>
      <c r="O14" s="747">
        <v>91076.479999999996</v>
      </c>
      <c r="P14" s="747">
        <v>0</v>
      </c>
      <c r="Q14" s="747">
        <v>15.19</v>
      </c>
      <c r="R14" s="751">
        <v>1338</v>
      </c>
      <c r="S14" s="812">
        <v>0.15289379836852396</v>
      </c>
      <c r="T14" s="753">
        <v>0.18289379836852393</v>
      </c>
      <c r="U14" s="753">
        <v>0.13</v>
      </c>
      <c r="V14" s="747">
        <v>119.894713</v>
      </c>
    </row>
    <row r="15" spans="1:22" ht="24">
      <c r="A15" s="577">
        <v>7.2</v>
      </c>
      <c r="B15" s="576" t="s">
        <v>699</v>
      </c>
      <c r="C15" s="749">
        <f t="shared" si="0"/>
        <v>3243499.04</v>
      </c>
      <c r="D15" s="747">
        <v>3225481.8</v>
      </c>
      <c r="E15" s="747">
        <v>18017.240000000002</v>
      </c>
      <c r="F15" s="747">
        <v>0</v>
      </c>
      <c r="G15" s="747">
        <v>0</v>
      </c>
      <c r="H15" s="749">
        <f t="shared" si="1"/>
        <v>3235318.0300000003</v>
      </c>
      <c r="I15" s="747">
        <v>3216151.8400000003</v>
      </c>
      <c r="J15" s="747">
        <v>19166.189999999999</v>
      </c>
      <c r="K15" s="747">
        <v>0</v>
      </c>
      <c r="L15" s="747">
        <v>0</v>
      </c>
      <c r="M15" s="749">
        <f t="shared" si="2"/>
        <v>9557.8499999999985</v>
      </c>
      <c r="N15" s="747">
        <v>8758.2099999999991</v>
      </c>
      <c r="O15" s="747">
        <v>799.64</v>
      </c>
      <c r="P15" s="747">
        <v>0</v>
      </c>
      <c r="Q15" s="747">
        <v>0</v>
      </c>
      <c r="R15" s="751">
        <v>57</v>
      </c>
      <c r="S15" s="812"/>
      <c r="T15" s="753"/>
      <c r="U15" s="753">
        <v>0.13</v>
      </c>
      <c r="V15" s="747">
        <v>96.008741999999998</v>
      </c>
    </row>
    <row r="16" spans="1:22">
      <c r="A16" s="577">
        <v>7.3</v>
      </c>
      <c r="B16" s="576" t="s">
        <v>700</v>
      </c>
      <c r="C16" s="749">
        <f t="shared" si="0"/>
        <v>94979886.530000016</v>
      </c>
      <c r="D16" s="747">
        <v>91926564.110000014</v>
      </c>
      <c r="E16" s="747">
        <v>2557631.64</v>
      </c>
      <c r="F16" s="747">
        <v>470287.83</v>
      </c>
      <c r="G16" s="747">
        <v>25402.95</v>
      </c>
      <c r="H16" s="749">
        <f t="shared" si="1"/>
        <v>94300137.659999996</v>
      </c>
      <c r="I16" s="747">
        <v>90997171.689999998</v>
      </c>
      <c r="J16" s="747">
        <v>2706517.03</v>
      </c>
      <c r="K16" s="747">
        <v>570972.89</v>
      </c>
      <c r="L16" s="747">
        <v>25476.05</v>
      </c>
      <c r="M16" s="749">
        <f t="shared" si="2"/>
        <v>1680460.91</v>
      </c>
      <c r="N16" s="747">
        <v>777788.77</v>
      </c>
      <c r="O16" s="747">
        <v>417705.63</v>
      </c>
      <c r="P16" s="747">
        <v>484627.75</v>
      </c>
      <c r="Q16" s="747">
        <v>338.76</v>
      </c>
      <c r="R16" s="751">
        <v>14050</v>
      </c>
      <c r="S16" s="812">
        <v>0.24242640049749861</v>
      </c>
      <c r="T16" s="753">
        <v>0.33242640049749866</v>
      </c>
      <c r="U16" s="753">
        <v>0.22</v>
      </c>
      <c r="V16" s="747">
        <v>34.054079999999999</v>
      </c>
    </row>
    <row r="17" spans="1:22">
      <c r="A17" s="579">
        <v>8</v>
      </c>
      <c r="B17" s="582" t="s">
        <v>701</v>
      </c>
      <c r="C17" s="749">
        <f t="shared" si="0"/>
        <v>0</v>
      </c>
      <c r="D17" s="747">
        <v>0</v>
      </c>
      <c r="E17" s="747">
        <v>0</v>
      </c>
      <c r="F17" s="747">
        <v>0</v>
      </c>
      <c r="G17" s="747">
        <v>0</v>
      </c>
      <c r="H17" s="749">
        <f t="shared" si="1"/>
        <v>0</v>
      </c>
      <c r="I17" s="747">
        <v>0</v>
      </c>
      <c r="J17" s="747">
        <v>0</v>
      </c>
      <c r="K17" s="747">
        <v>0</v>
      </c>
      <c r="L17" s="747">
        <v>0</v>
      </c>
      <c r="M17" s="749">
        <f t="shared" si="2"/>
        <v>0</v>
      </c>
      <c r="N17" s="747">
        <v>0</v>
      </c>
      <c r="O17" s="747">
        <v>0</v>
      </c>
      <c r="P17" s="747">
        <v>0</v>
      </c>
      <c r="Q17" s="747">
        <v>0</v>
      </c>
      <c r="R17" s="751">
        <v>0</v>
      </c>
      <c r="S17" s="812"/>
      <c r="T17" s="753"/>
      <c r="U17" s="753"/>
      <c r="V17" s="747"/>
    </row>
    <row r="18" spans="1:22">
      <c r="A18" s="581">
        <v>9</v>
      </c>
      <c r="B18" s="580" t="s">
        <v>702</v>
      </c>
      <c r="C18" s="749">
        <f t="shared" si="0"/>
        <v>5434434.3399999999</v>
      </c>
      <c r="D18" s="748">
        <v>5367963.92</v>
      </c>
      <c r="E18" s="748">
        <v>54912.2</v>
      </c>
      <c r="F18" s="747">
        <v>11558.22</v>
      </c>
      <c r="G18" s="748">
        <v>0</v>
      </c>
      <c r="H18" s="749">
        <f t="shared" si="1"/>
        <v>5468921.4199999999</v>
      </c>
      <c r="I18" s="747">
        <v>5400164.5</v>
      </c>
      <c r="J18" s="747">
        <v>55529.180000000008</v>
      </c>
      <c r="K18" s="747">
        <v>13227.74</v>
      </c>
      <c r="L18" s="748">
        <v>0</v>
      </c>
      <c r="M18" s="749">
        <f t="shared" si="2"/>
        <v>93928.16</v>
      </c>
      <c r="N18" s="748">
        <v>64602.26</v>
      </c>
      <c r="O18" s="748">
        <v>18176.060000000001</v>
      </c>
      <c r="P18" s="748">
        <v>11149.84</v>
      </c>
      <c r="Q18" s="748">
        <v>0</v>
      </c>
      <c r="R18" s="752">
        <v>1866</v>
      </c>
      <c r="S18" s="812">
        <v>0.04</v>
      </c>
      <c r="T18" s="753">
        <v>0.05</v>
      </c>
      <c r="U18" s="754">
        <v>0.05</v>
      </c>
      <c r="V18" s="748">
        <v>49.740496</v>
      </c>
    </row>
    <row r="19" spans="1:22">
      <c r="A19" s="579">
        <v>10</v>
      </c>
      <c r="B19" s="578" t="s">
        <v>719</v>
      </c>
      <c r="C19" s="749">
        <f>SUM(C7:C13)+C17+C18</f>
        <v>1354141642.2599998</v>
      </c>
      <c r="D19" s="749">
        <f t="shared" ref="D19:G19" si="5">SUM(D7:D13)+D17+D18</f>
        <v>1298882065.24</v>
      </c>
      <c r="E19" s="749">
        <f t="shared" si="5"/>
        <v>47007595.970000006</v>
      </c>
      <c r="F19" s="749">
        <f t="shared" si="5"/>
        <v>8132894.5799999982</v>
      </c>
      <c r="G19" s="749">
        <f t="shared" si="5"/>
        <v>119086.47</v>
      </c>
      <c r="H19" s="749">
        <f>SUM(H7:H13)+H17+H18</f>
        <v>1350675746.1700001</v>
      </c>
      <c r="I19" s="749">
        <f t="shared" ref="I19:L19" si="6">SUM(I7:I13)+I17+I18</f>
        <v>1290725667.4100001</v>
      </c>
      <c r="J19" s="749">
        <f t="shared" si="6"/>
        <v>49631577.359999999</v>
      </c>
      <c r="K19" s="749">
        <f t="shared" si="6"/>
        <v>10199154.15</v>
      </c>
      <c r="L19" s="749">
        <f t="shared" si="6"/>
        <v>119347.25</v>
      </c>
      <c r="M19" s="749">
        <f>SUM(M7:M13)+M17+M18</f>
        <v>29000294.339999996</v>
      </c>
      <c r="N19" s="749">
        <f t="shared" ref="N19:R19" si="7">SUM(N7:N13)+N17+N18</f>
        <v>12623308.069999998</v>
      </c>
      <c r="O19" s="749">
        <f t="shared" si="7"/>
        <v>7811757.8899999987</v>
      </c>
      <c r="P19" s="749">
        <f t="shared" si="7"/>
        <v>8563852.120000001</v>
      </c>
      <c r="Q19" s="749">
        <f t="shared" si="7"/>
        <v>1376.26</v>
      </c>
      <c r="R19" s="749">
        <f t="shared" si="7"/>
        <v>510705</v>
      </c>
      <c r="S19" s="813">
        <v>0.19289999999999999</v>
      </c>
      <c r="T19" s="813">
        <v>0.29170000000000001</v>
      </c>
      <c r="U19" s="814">
        <v>0.2</v>
      </c>
      <c r="V19" s="815">
        <v>43</v>
      </c>
    </row>
    <row r="20" spans="1:22" ht="24">
      <c r="A20" s="577">
        <v>10.1</v>
      </c>
      <c r="B20" s="576" t="s">
        <v>722</v>
      </c>
      <c r="C20" s="749">
        <f>SUM(D20:G20)</f>
        <v>1494780.4400000002</v>
      </c>
      <c r="D20" s="751">
        <v>1484193.11</v>
      </c>
      <c r="E20" s="751">
        <v>6878.33</v>
      </c>
      <c r="F20" s="751">
        <v>3709</v>
      </c>
      <c r="G20" s="751"/>
      <c r="H20" s="749">
        <f>SUM(I20:L20)</f>
        <v>1490552.7031597565</v>
      </c>
      <c r="I20" s="751">
        <v>1478277.0851737512</v>
      </c>
      <c r="J20" s="751">
        <v>6962.7079860053127</v>
      </c>
      <c r="K20" s="751">
        <v>5312.91</v>
      </c>
      <c r="L20" s="751"/>
      <c r="M20" s="749">
        <f>SUM(N20:Q20)</f>
        <v>19903.701697932753</v>
      </c>
      <c r="N20" s="751">
        <v>14282.709292691405</v>
      </c>
      <c r="O20" s="751">
        <v>1142.666772916667</v>
      </c>
      <c r="P20" s="751">
        <v>4478.3256323246796</v>
      </c>
      <c r="Q20" s="751"/>
      <c r="R20" s="751">
        <v>632</v>
      </c>
      <c r="S20" s="816">
        <v>0.24399999999999999</v>
      </c>
      <c r="T20" s="816">
        <v>0.33</v>
      </c>
      <c r="U20" s="816">
        <v>0.24279999999999999</v>
      </c>
      <c r="V20" s="751">
        <v>31.81</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ignoredErrors>
    <ignoredError sqref="C19 M19 H19 H13" formula="1"/>
    <ignoredError sqref="M7:M12 M14:M18" formulaRange="1"/>
    <ignoredError sqref="M13"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9"/>
  <sheetViews>
    <sheetView topLeftCell="A49" zoomScale="90" zoomScaleNormal="90" workbookViewId="0">
      <selection activeCell="F67" sqref="F67"/>
    </sheetView>
  </sheetViews>
  <sheetFormatPr defaultRowHeight="14.4"/>
  <cols>
    <col min="1" max="1" width="8.77734375" style="464"/>
    <col min="2" max="2" width="69.21875" style="437" customWidth="1"/>
    <col min="3" max="8" width="15" bestFit="1" customWidth="1"/>
    <col min="11" max="11" width="17.77734375" bestFit="1" customWidth="1"/>
    <col min="12" max="12" width="16.109375" bestFit="1" customWidth="1"/>
  </cols>
  <sheetData>
    <row r="1" spans="1:11">
      <c r="A1" s="13" t="s">
        <v>108</v>
      </c>
      <c r="B1" s="310" t="str">
        <f>Info!C2</f>
        <v>კრედო</v>
      </c>
      <c r="C1" s="12"/>
      <c r="D1" s="1"/>
      <c r="E1" s="1"/>
      <c r="F1" s="1"/>
      <c r="G1" s="1"/>
    </row>
    <row r="2" spans="1:11">
      <c r="A2" s="13" t="s">
        <v>109</v>
      </c>
      <c r="B2" s="346">
        <f>'1. key ratios'!B2</f>
        <v>45291</v>
      </c>
      <c r="C2" s="12"/>
      <c r="D2" s="1"/>
      <c r="E2" s="1"/>
      <c r="F2" s="1"/>
      <c r="G2" s="1"/>
    </row>
    <row r="3" spans="1:11">
      <c r="A3" s="13"/>
      <c r="B3" s="12"/>
      <c r="C3" s="12"/>
      <c r="D3" s="1"/>
      <c r="E3" s="1"/>
      <c r="F3" s="1"/>
      <c r="G3" s="1"/>
    </row>
    <row r="4" spans="1:11" ht="21" customHeight="1">
      <c r="A4" s="831" t="s">
        <v>25</v>
      </c>
      <c r="B4" s="832" t="s">
        <v>732</v>
      </c>
      <c r="C4" s="834" t="s">
        <v>114</v>
      </c>
      <c r="D4" s="834"/>
      <c r="E4" s="834"/>
      <c r="F4" s="834" t="s">
        <v>115</v>
      </c>
      <c r="G4" s="834"/>
      <c r="H4" s="835"/>
    </row>
    <row r="5" spans="1:11" ht="21" customHeight="1">
      <c r="A5" s="831"/>
      <c r="B5" s="833"/>
      <c r="C5" s="411" t="s">
        <v>26</v>
      </c>
      <c r="D5" s="411" t="s">
        <v>88</v>
      </c>
      <c r="E5" s="411" t="s">
        <v>66</v>
      </c>
      <c r="F5" s="411" t="s">
        <v>26</v>
      </c>
      <c r="G5" s="411" t="s">
        <v>88</v>
      </c>
      <c r="H5" s="411" t="s">
        <v>66</v>
      </c>
    </row>
    <row r="6" spans="1:11" ht="26.55" customHeight="1">
      <c r="A6" s="831"/>
      <c r="B6" s="412" t="s">
        <v>95</v>
      </c>
      <c r="C6" s="836"/>
      <c r="D6" s="837"/>
      <c r="E6" s="837"/>
      <c r="F6" s="837"/>
      <c r="G6" s="837"/>
      <c r="H6" s="838"/>
    </row>
    <row r="7" spans="1:11" ht="22.95" customHeight="1">
      <c r="A7" s="452">
        <v>1</v>
      </c>
      <c r="B7" s="413" t="s">
        <v>846</v>
      </c>
      <c r="C7" s="763">
        <f>SUM(C8:C10)</f>
        <v>153504527.38</v>
      </c>
      <c r="D7" s="763">
        <f>SUM(D8:D10)</f>
        <v>167503946.92000002</v>
      </c>
      <c r="E7" s="701">
        <f>C7+D7</f>
        <v>321008474.30000001</v>
      </c>
      <c r="F7" s="763">
        <f>SUM(F8:F10)</f>
        <v>124861152.08</v>
      </c>
      <c r="G7" s="763">
        <f>SUM(G8:G10)</f>
        <v>173951611.38999999</v>
      </c>
      <c r="H7" s="701">
        <f>F7+G7</f>
        <v>298812763.46999997</v>
      </c>
    </row>
    <row r="8" spans="1:11">
      <c r="A8" s="452">
        <v>1.1000000000000001</v>
      </c>
      <c r="B8" s="414" t="s">
        <v>96</v>
      </c>
      <c r="C8" s="700">
        <v>48122091.949999996</v>
      </c>
      <c r="D8" s="700">
        <v>43106861.740000002</v>
      </c>
      <c r="E8" s="701">
        <f t="shared" ref="E8:E36" si="0">C8+D8</f>
        <v>91228953.689999998</v>
      </c>
      <c r="F8" s="700">
        <v>45906550.199999996</v>
      </c>
      <c r="G8" s="700">
        <f>SUM('[4]FSF-SOFP'!$E$10:$G$10)</f>
        <v>32395861.529999997</v>
      </c>
      <c r="H8" s="701">
        <f t="shared" ref="H8:H36" si="1">F8+G8</f>
        <v>78302411.729999989</v>
      </c>
      <c r="K8" s="706"/>
    </row>
    <row r="9" spans="1:11">
      <c r="A9" s="452">
        <v>1.2</v>
      </c>
      <c r="B9" s="414" t="s">
        <v>97</v>
      </c>
      <c r="C9" s="700">
        <v>98405777.010000005</v>
      </c>
      <c r="D9" s="700">
        <v>48827621.170000002</v>
      </c>
      <c r="E9" s="701">
        <f t="shared" si="0"/>
        <v>147233398.18000001</v>
      </c>
      <c r="F9" s="700">
        <v>75325317.739999995</v>
      </c>
      <c r="G9" s="700">
        <v>31350815.680000007</v>
      </c>
      <c r="H9" s="701">
        <f t="shared" si="1"/>
        <v>106676133.42</v>
      </c>
      <c r="K9" s="706"/>
    </row>
    <row r="10" spans="1:11">
      <c r="A10" s="452">
        <v>1.3</v>
      </c>
      <c r="B10" s="414" t="s">
        <v>98</v>
      </c>
      <c r="C10" s="700">
        <v>6976658.4199999999</v>
      </c>
      <c r="D10" s="700">
        <v>75569464.010000005</v>
      </c>
      <c r="E10" s="701">
        <f t="shared" si="0"/>
        <v>82546122.430000007</v>
      </c>
      <c r="F10" s="700">
        <v>3629284.14</v>
      </c>
      <c r="G10" s="700">
        <v>110204934.17999999</v>
      </c>
      <c r="H10" s="701">
        <f t="shared" si="1"/>
        <v>113834218.31999999</v>
      </c>
      <c r="K10" s="706"/>
    </row>
    <row r="11" spans="1:11">
      <c r="A11" s="452">
        <v>2</v>
      </c>
      <c r="B11" s="415" t="s">
        <v>733</v>
      </c>
      <c r="C11" s="700"/>
      <c r="D11" s="700"/>
      <c r="E11" s="701">
        <f t="shared" si="0"/>
        <v>0</v>
      </c>
      <c r="F11" s="700"/>
      <c r="G11" s="700"/>
      <c r="H11" s="701">
        <f t="shared" si="1"/>
        <v>0</v>
      </c>
    </row>
    <row r="12" spans="1:11">
      <c r="A12" s="452">
        <v>2.1</v>
      </c>
      <c r="B12" s="416" t="s">
        <v>734</v>
      </c>
      <c r="C12" s="700"/>
      <c r="D12" s="700"/>
      <c r="E12" s="701">
        <f t="shared" si="0"/>
        <v>0</v>
      </c>
      <c r="F12" s="700"/>
      <c r="G12" s="700"/>
      <c r="H12" s="701">
        <f t="shared" si="1"/>
        <v>0</v>
      </c>
    </row>
    <row r="13" spans="1:11" ht="26.55" customHeight="1">
      <c r="A13" s="452">
        <v>3</v>
      </c>
      <c r="B13" s="417" t="s">
        <v>735</v>
      </c>
      <c r="C13" s="700">
        <v>1821169.01</v>
      </c>
      <c r="D13" s="700"/>
      <c r="E13" s="701">
        <f t="shared" si="0"/>
        <v>1821169.01</v>
      </c>
      <c r="F13" s="700">
        <v>1088619.67</v>
      </c>
      <c r="G13" s="700"/>
      <c r="H13" s="701">
        <f t="shared" si="1"/>
        <v>1088619.67</v>
      </c>
    </row>
    <row r="14" spans="1:11" ht="26.55" customHeight="1">
      <c r="A14" s="452">
        <v>4</v>
      </c>
      <c r="B14" s="418" t="s">
        <v>736</v>
      </c>
      <c r="C14" s="700"/>
      <c r="D14" s="700"/>
      <c r="E14" s="701">
        <f t="shared" si="0"/>
        <v>0</v>
      </c>
      <c r="F14" s="700"/>
      <c r="G14" s="700"/>
      <c r="H14" s="701">
        <f t="shared" si="1"/>
        <v>0</v>
      </c>
    </row>
    <row r="15" spans="1:11" ht="24.45" customHeight="1">
      <c r="A15" s="452">
        <v>5</v>
      </c>
      <c r="B15" s="418" t="s">
        <v>737</v>
      </c>
      <c r="C15" s="702">
        <f>SUM(C16:C18)</f>
        <v>0</v>
      </c>
      <c r="D15" s="702">
        <f>SUM(D16:D18)</f>
        <v>0</v>
      </c>
      <c r="E15" s="703">
        <f t="shared" si="0"/>
        <v>0</v>
      </c>
      <c r="F15" s="702">
        <f>SUM(F16:F18)</f>
        <v>0</v>
      </c>
      <c r="G15" s="702">
        <f>SUM(G16:G18)</f>
        <v>0</v>
      </c>
      <c r="H15" s="703">
        <f t="shared" si="1"/>
        <v>0</v>
      </c>
    </row>
    <row r="16" spans="1:11">
      <c r="A16" s="452">
        <v>5.0999999999999996</v>
      </c>
      <c r="B16" s="419" t="s">
        <v>738</v>
      </c>
      <c r="C16" s="700"/>
      <c r="D16" s="700"/>
      <c r="E16" s="701">
        <f t="shared" si="0"/>
        <v>0</v>
      </c>
      <c r="F16" s="700"/>
      <c r="G16" s="700"/>
      <c r="H16" s="701">
        <f t="shared" si="1"/>
        <v>0</v>
      </c>
    </row>
    <row r="17" spans="1:12">
      <c r="A17" s="452">
        <v>5.2</v>
      </c>
      <c r="B17" s="419" t="s">
        <v>569</v>
      </c>
      <c r="C17" s="700"/>
      <c r="D17" s="700"/>
      <c r="E17" s="701">
        <f t="shared" si="0"/>
        <v>0</v>
      </c>
      <c r="F17" s="700"/>
      <c r="G17" s="700"/>
      <c r="H17" s="701">
        <f t="shared" si="1"/>
        <v>0</v>
      </c>
    </row>
    <row r="18" spans="1:12">
      <c r="A18" s="452">
        <v>5.3</v>
      </c>
      <c r="B18" s="419" t="s">
        <v>739</v>
      </c>
      <c r="C18" s="700"/>
      <c r="D18" s="700"/>
      <c r="E18" s="701">
        <f t="shared" si="0"/>
        <v>0</v>
      </c>
      <c r="F18" s="700"/>
      <c r="G18" s="700"/>
      <c r="H18" s="701">
        <f t="shared" si="1"/>
        <v>0</v>
      </c>
    </row>
    <row r="19" spans="1:12">
      <c r="A19" s="452">
        <v>6</v>
      </c>
      <c r="B19" s="417" t="s">
        <v>740</v>
      </c>
      <c r="C19" s="763">
        <f>SUM(C20:C21)</f>
        <v>1826389594.9300001</v>
      </c>
      <c r="D19" s="763">
        <f>SUM(D20:D21)</f>
        <v>207644975</v>
      </c>
      <c r="E19" s="701">
        <f t="shared" si="0"/>
        <v>2034034569.9300001</v>
      </c>
      <c r="F19" s="763">
        <f>SUM(F20:F21)</f>
        <v>1802506845.0922017</v>
      </c>
      <c r="G19" s="763">
        <f>SUM(G20:G21)</f>
        <v>0</v>
      </c>
      <c r="H19" s="701">
        <f t="shared" si="1"/>
        <v>1802506845.0922017</v>
      </c>
    </row>
    <row r="20" spans="1:12">
      <c r="A20" s="452">
        <v>6.1</v>
      </c>
      <c r="B20" s="419" t="s">
        <v>569</v>
      </c>
      <c r="C20" s="700">
        <v>48888517.93</v>
      </c>
      <c r="D20" s="700"/>
      <c r="E20" s="701">
        <f t="shared" si="0"/>
        <v>48888517.93</v>
      </c>
      <c r="F20" s="700">
        <v>48869036.829999998</v>
      </c>
      <c r="G20" s="700"/>
      <c r="H20" s="701">
        <f t="shared" si="1"/>
        <v>48869036.829999998</v>
      </c>
    </row>
    <row r="21" spans="1:12">
      <c r="A21" s="452">
        <v>6.2</v>
      </c>
      <c r="B21" s="419" t="s">
        <v>739</v>
      </c>
      <c r="C21" s="700">
        <v>1777501077</v>
      </c>
      <c r="D21" s="700">
        <v>207644975</v>
      </c>
      <c r="E21" s="701">
        <f t="shared" si="0"/>
        <v>1985146052</v>
      </c>
      <c r="F21" s="700">
        <v>1753637808.2622018</v>
      </c>
      <c r="G21" s="700"/>
      <c r="H21" s="701">
        <f t="shared" si="1"/>
        <v>1753637808.2622018</v>
      </c>
      <c r="K21" s="706"/>
    </row>
    <row r="22" spans="1:12">
      <c r="A22" s="452">
        <v>7</v>
      </c>
      <c r="B22" s="420" t="s">
        <v>741</v>
      </c>
      <c r="C22" s="700"/>
      <c r="D22" s="700"/>
      <c r="E22" s="701">
        <f t="shared" si="0"/>
        <v>0</v>
      </c>
      <c r="F22" s="700"/>
      <c r="G22" s="700"/>
      <c r="H22" s="701">
        <f t="shared" si="1"/>
        <v>0</v>
      </c>
      <c r="L22" s="764"/>
    </row>
    <row r="23" spans="1:12">
      <c r="A23" s="452">
        <v>8</v>
      </c>
      <c r="B23" s="421" t="s">
        <v>742</v>
      </c>
      <c r="C23" s="700"/>
      <c r="D23" s="700"/>
      <c r="E23" s="701">
        <f t="shared" si="0"/>
        <v>0</v>
      </c>
      <c r="F23" s="700"/>
      <c r="G23" s="700"/>
      <c r="H23" s="701">
        <f t="shared" si="1"/>
        <v>0</v>
      </c>
    </row>
    <row r="24" spans="1:12">
      <c r="A24" s="452">
        <v>9</v>
      </c>
      <c r="B24" s="418" t="s">
        <v>743</v>
      </c>
      <c r="C24" s="763">
        <f>SUM(C25:C26)</f>
        <v>45907008.240000017</v>
      </c>
      <c r="D24" s="700">
        <f>SUM(D25:D26)</f>
        <v>0</v>
      </c>
      <c r="E24" s="701">
        <f t="shared" si="0"/>
        <v>45907008.240000017</v>
      </c>
      <c r="F24" s="763">
        <f>SUM(F25:F26)</f>
        <v>34042317.040000007</v>
      </c>
      <c r="G24" s="700">
        <f>SUM(G25:G26)</f>
        <v>0</v>
      </c>
      <c r="H24" s="701">
        <f t="shared" si="1"/>
        <v>34042317.040000007</v>
      </c>
    </row>
    <row r="25" spans="1:12">
      <c r="A25" s="452">
        <v>9.1</v>
      </c>
      <c r="B25" s="422" t="s">
        <v>744</v>
      </c>
      <c r="C25" s="700">
        <v>45907008.240000017</v>
      </c>
      <c r="D25" s="700"/>
      <c r="E25" s="701">
        <f t="shared" si="0"/>
        <v>45907008.240000017</v>
      </c>
      <c r="F25" s="700">
        <v>34042317.040000007</v>
      </c>
      <c r="G25" s="700"/>
      <c r="H25" s="701">
        <f t="shared" si="1"/>
        <v>34042317.040000007</v>
      </c>
    </row>
    <row r="26" spans="1:12">
      <c r="A26" s="452">
        <v>9.1999999999999993</v>
      </c>
      <c r="B26" s="422" t="s">
        <v>745</v>
      </c>
      <c r="C26" s="700"/>
      <c r="D26" s="700"/>
      <c r="E26" s="701">
        <f t="shared" si="0"/>
        <v>0</v>
      </c>
      <c r="F26" s="700"/>
      <c r="G26" s="700"/>
      <c r="H26" s="701">
        <f t="shared" si="1"/>
        <v>0</v>
      </c>
    </row>
    <row r="27" spans="1:12">
      <c r="A27" s="452">
        <v>10</v>
      </c>
      <c r="B27" s="418" t="s">
        <v>36</v>
      </c>
      <c r="C27" s="763">
        <f>SUM(C28:C29)</f>
        <v>19302841.93</v>
      </c>
      <c r="D27" s="700">
        <f>SUM(D28:D29)</f>
        <v>0</v>
      </c>
      <c r="E27" s="701">
        <f t="shared" si="0"/>
        <v>19302841.93</v>
      </c>
      <c r="F27" s="763">
        <f>SUM(F28:F29)</f>
        <v>21126925.79000001</v>
      </c>
      <c r="G27" s="700">
        <f>SUM(G28:G29)</f>
        <v>0</v>
      </c>
      <c r="H27" s="701">
        <f t="shared" si="1"/>
        <v>21126925.79000001</v>
      </c>
    </row>
    <row r="28" spans="1:12">
      <c r="A28" s="452">
        <v>10.1</v>
      </c>
      <c r="B28" s="422" t="s">
        <v>746</v>
      </c>
      <c r="C28" s="700"/>
      <c r="D28" s="700"/>
      <c r="E28" s="701">
        <f t="shared" si="0"/>
        <v>0</v>
      </c>
      <c r="F28" s="700"/>
      <c r="G28" s="700"/>
      <c r="H28" s="701">
        <f t="shared" si="1"/>
        <v>0</v>
      </c>
    </row>
    <row r="29" spans="1:12">
      <c r="A29" s="452">
        <v>10.199999999999999</v>
      </c>
      <c r="B29" s="422" t="s">
        <v>747</v>
      </c>
      <c r="C29" s="700">
        <v>19302841.93</v>
      </c>
      <c r="D29" s="700"/>
      <c r="E29" s="701">
        <f t="shared" si="0"/>
        <v>19302841.93</v>
      </c>
      <c r="F29" s="700">
        <v>21126925.79000001</v>
      </c>
      <c r="G29" s="700"/>
      <c r="H29" s="701">
        <f t="shared" si="1"/>
        <v>21126925.79000001</v>
      </c>
    </row>
    <row r="30" spans="1:12">
      <c r="A30" s="452">
        <v>11</v>
      </c>
      <c r="B30" s="418" t="s">
        <v>748</v>
      </c>
      <c r="C30" s="763">
        <f>SUM(C31:C32)</f>
        <v>0</v>
      </c>
      <c r="D30" s="700">
        <f>SUM(D31:D32)</f>
        <v>0</v>
      </c>
      <c r="E30" s="701">
        <f t="shared" si="0"/>
        <v>0</v>
      </c>
      <c r="F30" s="763">
        <f>SUM(F31:F32)</f>
        <v>604179.91999999946</v>
      </c>
      <c r="G30" s="700">
        <f>SUM(G31:G32)</f>
        <v>0</v>
      </c>
      <c r="H30" s="701">
        <f t="shared" si="1"/>
        <v>604179.91999999946</v>
      </c>
    </row>
    <row r="31" spans="1:12">
      <c r="A31" s="452">
        <v>11.1</v>
      </c>
      <c r="B31" s="422" t="s">
        <v>749</v>
      </c>
      <c r="C31" s="700"/>
      <c r="D31" s="700"/>
      <c r="E31" s="701">
        <f t="shared" si="0"/>
        <v>0</v>
      </c>
      <c r="F31" s="787">
        <v>604179.91999999946</v>
      </c>
      <c r="G31" s="700"/>
      <c r="H31" s="701">
        <f t="shared" si="1"/>
        <v>604179.91999999946</v>
      </c>
    </row>
    <row r="32" spans="1:12">
      <c r="A32" s="452">
        <v>11.2</v>
      </c>
      <c r="B32" s="422" t="s">
        <v>750</v>
      </c>
      <c r="C32" s="700"/>
      <c r="D32" s="700"/>
      <c r="E32" s="701">
        <f t="shared" si="0"/>
        <v>0</v>
      </c>
      <c r="F32" s="700"/>
      <c r="G32" s="700"/>
      <c r="H32" s="701">
        <f t="shared" si="1"/>
        <v>0</v>
      </c>
    </row>
    <row r="33" spans="1:11">
      <c r="A33" s="452">
        <v>13</v>
      </c>
      <c r="B33" s="418" t="s">
        <v>99</v>
      </c>
      <c r="C33" s="763">
        <v>37267278.049999997</v>
      </c>
      <c r="D33" s="763">
        <v>6665178.1700000167</v>
      </c>
      <c r="E33" s="701">
        <f t="shared" si="0"/>
        <v>43932456.220000014</v>
      </c>
      <c r="F33" s="763">
        <v>23228672.74000001</v>
      </c>
      <c r="G33" s="763">
        <v>6052848.6199999936</v>
      </c>
      <c r="H33" s="701">
        <f t="shared" si="1"/>
        <v>29281521.360000003</v>
      </c>
    </row>
    <row r="34" spans="1:11">
      <c r="A34" s="452">
        <v>13.1</v>
      </c>
      <c r="B34" s="423" t="s">
        <v>751</v>
      </c>
      <c r="C34" s="700">
        <v>13792672</v>
      </c>
      <c r="D34" s="700"/>
      <c r="E34" s="701">
        <f t="shared" si="0"/>
        <v>13792672</v>
      </c>
      <c r="F34" s="700">
        <v>5366743.6355331717</v>
      </c>
      <c r="G34" s="700"/>
      <c r="H34" s="701">
        <f t="shared" si="1"/>
        <v>5366743.6355331717</v>
      </c>
    </row>
    <row r="35" spans="1:11">
      <c r="A35" s="452">
        <v>13.2</v>
      </c>
      <c r="B35" s="423" t="s">
        <v>752</v>
      </c>
      <c r="C35" s="700"/>
      <c r="D35" s="700"/>
      <c r="E35" s="701">
        <f t="shared" si="0"/>
        <v>0</v>
      </c>
      <c r="F35" s="700"/>
      <c r="G35" s="700"/>
      <c r="H35" s="701">
        <f t="shared" si="1"/>
        <v>0</v>
      </c>
    </row>
    <row r="36" spans="1:11">
      <c r="A36" s="452">
        <v>14</v>
      </c>
      <c r="B36" s="424" t="s">
        <v>753</v>
      </c>
      <c r="C36" s="700">
        <f>SUM(C7,C11,C13,C14,C15,C19,C22,C23,C24,C27,C30,C33)</f>
        <v>2084192419.5400002</v>
      </c>
      <c r="D36" s="700">
        <f>SUM(D7,D11,D13,D14,D15,D19,D22,D23,D24,D27,D30,D33)</f>
        <v>381814100.09000003</v>
      </c>
      <c r="E36" s="701">
        <f t="shared" si="0"/>
        <v>2466006519.6300001</v>
      </c>
      <c r="F36" s="700">
        <f>SUM(F7,F11,F13,F14,F15,F19,F22,F23,F24,F27,F30,F33)</f>
        <v>2007458712.3322017</v>
      </c>
      <c r="G36" s="700">
        <f>SUM(G7,G11,G13,G14,G15,G19,G22,G23,G24,G27,G30,G33)</f>
        <v>180004460.00999999</v>
      </c>
      <c r="H36" s="701">
        <f t="shared" si="1"/>
        <v>2187463172.3422017</v>
      </c>
      <c r="K36" s="690"/>
    </row>
    <row r="37" spans="1:11" ht="22.5" customHeight="1">
      <c r="A37" s="452"/>
      <c r="B37" s="425" t="s">
        <v>104</v>
      </c>
      <c r="C37" s="825"/>
      <c r="D37" s="826"/>
      <c r="E37" s="826"/>
      <c r="F37" s="826"/>
      <c r="G37" s="826"/>
      <c r="H37" s="827"/>
      <c r="K37" s="707"/>
    </row>
    <row r="38" spans="1:11">
      <c r="A38" s="452">
        <v>15</v>
      </c>
      <c r="B38" s="426" t="s">
        <v>754</v>
      </c>
      <c r="C38" s="704"/>
      <c r="D38" s="704"/>
      <c r="E38" s="705">
        <f>C38+D38</f>
        <v>0</v>
      </c>
      <c r="F38" s="704"/>
      <c r="G38" s="704"/>
      <c r="H38" s="705">
        <f>F38+G38</f>
        <v>0</v>
      </c>
    </row>
    <row r="39" spans="1:11">
      <c r="A39" s="452">
        <v>15.1</v>
      </c>
      <c r="B39" s="427" t="s">
        <v>734</v>
      </c>
      <c r="C39" s="704"/>
      <c r="D39" s="704"/>
      <c r="E39" s="705">
        <f t="shared" ref="E39:E53" si="2">C39+D39</f>
        <v>0</v>
      </c>
      <c r="F39" s="704"/>
      <c r="G39" s="704"/>
      <c r="H39" s="705">
        <f t="shared" ref="H39:H53" si="3">F39+G39</f>
        <v>0</v>
      </c>
    </row>
    <row r="40" spans="1:11" ht="24" customHeight="1">
      <c r="A40" s="452">
        <v>16</v>
      </c>
      <c r="B40" s="420" t="s">
        <v>755</v>
      </c>
      <c r="C40" s="704">
        <v>133467.17000000001</v>
      </c>
      <c r="D40" s="704"/>
      <c r="E40" s="705">
        <f t="shared" si="2"/>
        <v>133467.17000000001</v>
      </c>
      <c r="F40" s="704">
        <v>77542.53</v>
      </c>
      <c r="G40" s="704"/>
      <c r="H40" s="705">
        <f t="shared" si="3"/>
        <v>77542.53</v>
      </c>
    </row>
    <row r="41" spans="1:11">
      <c r="A41" s="452">
        <v>17</v>
      </c>
      <c r="B41" s="420" t="s">
        <v>756</v>
      </c>
      <c r="C41" s="765">
        <f>SUM(C42:C45)</f>
        <v>1440912175.8299999</v>
      </c>
      <c r="D41" s="765">
        <f>SUM(D42:D45)</f>
        <v>538336342.05000007</v>
      </c>
      <c r="E41" s="705">
        <f t="shared" si="2"/>
        <v>1979248517.8800001</v>
      </c>
      <c r="F41" s="765">
        <f>SUM(F42:F45)</f>
        <v>1280316561.1100001</v>
      </c>
      <c r="G41" s="765">
        <f>SUM(G42:G45)</f>
        <v>515093514.68000007</v>
      </c>
      <c r="H41" s="705">
        <f t="shared" si="3"/>
        <v>1795410075.7900002</v>
      </c>
    </row>
    <row r="42" spans="1:11">
      <c r="A42" s="452">
        <v>17.100000000000001</v>
      </c>
      <c r="B42" s="428" t="s">
        <v>757</v>
      </c>
      <c r="C42" s="704">
        <v>620392990</v>
      </c>
      <c r="D42" s="704">
        <v>272891478</v>
      </c>
      <c r="E42" s="705">
        <f t="shared" si="2"/>
        <v>893284468</v>
      </c>
      <c r="F42" s="704">
        <v>464905586.28000009</v>
      </c>
      <c r="G42" s="704">
        <v>214870238.54000008</v>
      </c>
      <c r="H42" s="705">
        <f t="shared" si="3"/>
        <v>679775824.82000017</v>
      </c>
    </row>
    <row r="43" spans="1:11">
      <c r="A43" s="452">
        <v>17.2</v>
      </c>
      <c r="B43" s="429" t="s">
        <v>100</v>
      </c>
      <c r="C43" s="704">
        <v>806381512</v>
      </c>
      <c r="D43" s="704">
        <v>258315197.05000007</v>
      </c>
      <c r="E43" s="705">
        <f t="shared" si="2"/>
        <v>1064696709.0500001</v>
      </c>
      <c r="F43" s="704">
        <v>805965218.51999998</v>
      </c>
      <c r="G43" s="704">
        <v>292700602.76999998</v>
      </c>
      <c r="H43" s="705">
        <f t="shared" si="3"/>
        <v>1098665821.29</v>
      </c>
    </row>
    <row r="44" spans="1:11">
      <c r="A44" s="452">
        <v>17.3</v>
      </c>
      <c r="B44" s="428" t="s">
        <v>758</v>
      </c>
      <c r="C44" s="704"/>
      <c r="D44" s="704"/>
      <c r="E44" s="705">
        <f t="shared" si="2"/>
        <v>0</v>
      </c>
      <c r="F44" s="704"/>
      <c r="G44" s="704"/>
      <c r="H44" s="705">
        <f t="shared" si="3"/>
        <v>0</v>
      </c>
    </row>
    <row r="45" spans="1:11">
      <c r="A45" s="452">
        <v>17.399999999999999</v>
      </c>
      <c r="B45" s="428" t="s">
        <v>759</v>
      </c>
      <c r="C45" s="722">
        <v>14137673.83</v>
      </c>
      <c r="D45" s="722">
        <v>7129667</v>
      </c>
      <c r="E45" s="705">
        <f t="shared" si="2"/>
        <v>21267340.829999998</v>
      </c>
      <c r="F45" s="704">
        <v>9445756.3100000005</v>
      </c>
      <c r="G45" s="704">
        <v>7522673.3700000001</v>
      </c>
      <c r="H45" s="705">
        <f>F45+G45</f>
        <v>16968429.68</v>
      </c>
    </row>
    <row r="46" spans="1:11">
      <c r="A46" s="452">
        <v>18</v>
      </c>
      <c r="B46" s="418" t="s">
        <v>760</v>
      </c>
      <c r="C46" s="704"/>
      <c r="D46" s="704"/>
      <c r="E46" s="705">
        <f t="shared" si="2"/>
        <v>0</v>
      </c>
      <c r="F46" s="704"/>
      <c r="G46" s="704"/>
      <c r="H46" s="705">
        <f>F46+G46</f>
        <v>0</v>
      </c>
    </row>
    <row r="47" spans="1:11">
      <c r="A47" s="452">
        <v>19</v>
      </c>
      <c r="B47" s="418" t="s">
        <v>761</v>
      </c>
      <c r="C47" s="765">
        <f>SUM(C48:C49)</f>
        <v>2435226.58</v>
      </c>
      <c r="D47" s="704">
        <f>SUM(D48:D49)</f>
        <v>0</v>
      </c>
      <c r="E47" s="705">
        <f t="shared" si="2"/>
        <v>2435226.58</v>
      </c>
      <c r="F47" s="765">
        <f>SUM(F48:F49)</f>
        <v>1894383.16</v>
      </c>
      <c r="G47" s="704">
        <f>SUM(G48:G49)</f>
        <v>0</v>
      </c>
      <c r="H47" s="705">
        <f t="shared" si="3"/>
        <v>1894383.16</v>
      </c>
    </row>
    <row r="48" spans="1:11">
      <c r="A48" s="452">
        <v>19.100000000000001</v>
      </c>
      <c r="B48" s="430" t="s">
        <v>762</v>
      </c>
      <c r="C48" s="704">
        <v>69707.240000000224</v>
      </c>
      <c r="D48" s="704"/>
      <c r="E48" s="705">
        <f t="shared" si="2"/>
        <v>69707.240000000224</v>
      </c>
      <c r="F48" s="704"/>
      <c r="G48" s="704"/>
      <c r="H48" s="705">
        <f t="shared" si="3"/>
        <v>0</v>
      </c>
    </row>
    <row r="49" spans="1:8">
      <c r="A49" s="452">
        <v>19.2</v>
      </c>
      <c r="B49" s="431" t="s">
        <v>763</v>
      </c>
      <c r="C49" s="704">
        <v>2365519.34</v>
      </c>
      <c r="D49" s="704"/>
      <c r="E49" s="705">
        <f t="shared" si="2"/>
        <v>2365519.34</v>
      </c>
      <c r="F49" s="704">
        <v>1894383.16</v>
      </c>
      <c r="G49" s="704"/>
      <c r="H49" s="705">
        <f t="shared" si="3"/>
        <v>1894383.16</v>
      </c>
    </row>
    <row r="50" spans="1:8">
      <c r="A50" s="452">
        <v>20</v>
      </c>
      <c r="B50" s="432" t="s">
        <v>101</v>
      </c>
      <c r="C50" s="765">
        <v>62697744.160000004</v>
      </c>
      <c r="D50" s="765">
        <v>64538789.809999995</v>
      </c>
      <c r="E50" s="705">
        <f t="shared" si="2"/>
        <v>127236533.97</v>
      </c>
      <c r="F50" s="765">
        <v>62633031.389999993</v>
      </c>
      <c r="G50" s="765">
        <v>20889548.589999996</v>
      </c>
      <c r="H50" s="705">
        <f t="shared" si="3"/>
        <v>83522579.979999989</v>
      </c>
    </row>
    <row r="51" spans="1:8">
      <c r="A51" s="452">
        <v>21</v>
      </c>
      <c r="B51" s="433" t="s">
        <v>89</v>
      </c>
      <c r="C51" s="704">
        <v>45036763</v>
      </c>
      <c r="D51" s="704">
        <v>6884053.1799999801</v>
      </c>
      <c r="E51" s="705">
        <f t="shared" si="2"/>
        <v>51920816.179999977</v>
      </c>
      <c r="F51" s="704">
        <v>35296053</v>
      </c>
      <c r="G51" s="704">
        <v>4554603.1900000097</v>
      </c>
      <c r="H51" s="705">
        <f t="shared" si="3"/>
        <v>39850656.190000013</v>
      </c>
    </row>
    <row r="52" spans="1:8">
      <c r="A52" s="452">
        <v>21.1</v>
      </c>
      <c r="B52" s="429" t="s">
        <v>764</v>
      </c>
      <c r="C52" s="704"/>
      <c r="D52" s="704"/>
      <c r="E52" s="705">
        <f t="shared" si="2"/>
        <v>0</v>
      </c>
      <c r="F52" s="704"/>
      <c r="G52" s="704"/>
      <c r="H52" s="705">
        <f t="shared" si="3"/>
        <v>0</v>
      </c>
    </row>
    <row r="53" spans="1:8">
      <c r="A53" s="452">
        <v>22</v>
      </c>
      <c r="B53" s="432" t="s">
        <v>765</v>
      </c>
      <c r="C53" s="704">
        <f>SUM(C38,C40,C41,C46,C47,C50,C51)</f>
        <v>1551215376.74</v>
      </c>
      <c r="D53" s="704">
        <f>SUM(D38,D40,D41,D46,D47,D50,D51)</f>
        <v>609759185.03999996</v>
      </c>
      <c r="E53" s="705">
        <f t="shared" si="2"/>
        <v>2160974561.7799997</v>
      </c>
      <c r="F53" s="704">
        <f>SUM(F38,F40,F41,F46,F47,F50,F51)</f>
        <v>1380217571.1900003</v>
      </c>
      <c r="G53" s="704">
        <f>SUM(G38,G40,G41,G46,G47,G50,G51)</f>
        <v>540537666.46000004</v>
      </c>
      <c r="H53" s="705">
        <f t="shared" si="3"/>
        <v>1920755237.6500003</v>
      </c>
    </row>
    <row r="54" spans="1:8" ht="24" customHeight="1">
      <c r="A54" s="452"/>
      <c r="B54" s="434" t="s">
        <v>766</v>
      </c>
      <c r="C54" s="828"/>
      <c r="D54" s="829"/>
      <c r="E54" s="829"/>
      <c r="F54" s="829"/>
      <c r="G54" s="829"/>
      <c r="H54" s="830"/>
    </row>
    <row r="55" spans="1:8">
      <c r="A55" s="452">
        <v>23</v>
      </c>
      <c r="B55" s="432" t="s">
        <v>105</v>
      </c>
      <c r="C55" s="704">
        <v>5210230</v>
      </c>
      <c r="D55" s="704"/>
      <c r="E55" s="705">
        <f>C55+D55</f>
        <v>5210230</v>
      </c>
      <c r="F55" s="704">
        <v>5186820</v>
      </c>
      <c r="G55" s="704"/>
      <c r="H55" s="705">
        <f>F55+G55</f>
        <v>5186820</v>
      </c>
    </row>
    <row r="56" spans="1:8">
      <c r="A56" s="452">
        <v>24</v>
      </c>
      <c r="B56" s="432" t="s">
        <v>767</v>
      </c>
      <c r="C56" s="704"/>
      <c r="D56" s="704"/>
      <c r="E56" s="705">
        <f t="shared" ref="E56:E69" si="4">C56+D56</f>
        <v>0</v>
      </c>
      <c r="F56" s="704"/>
      <c r="G56" s="704"/>
      <c r="H56" s="705">
        <f t="shared" ref="H56:H69" si="5">F56+G56</f>
        <v>0</v>
      </c>
    </row>
    <row r="57" spans="1:8">
      <c r="A57" s="452">
        <v>25</v>
      </c>
      <c r="B57" s="432" t="s">
        <v>102</v>
      </c>
      <c r="C57" s="704">
        <v>37102057.520000003</v>
      </c>
      <c r="D57" s="704"/>
      <c r="E57" s="705">
        <f t="shared" si="4"/>
        <v>37102057.520000003</v>
      </c>
      <c r="F57" s="704">
        <v>35681935.310000002</v>
      </c>
      <c r="G57" s="704"/>
      <c r="H57" s="705">
        <f t="shared" si="5"/>
        <v>35681935.310000002</v>
      </c>
    </row>
    <row r="58" spans="1:8">
      <c r="A58" s="452">
        <v>26</v>
      </c>
      <c r="B58" s="418" t="s">
        <v>768</v>
      </c>
      <c r="C58" s="704"/>
      <c r="D58" s="704"/>
      <c r="E58" s="705">
        <f t="shared" si="4"/>
        <v>0</v>
      </c>
      <c r="F58" s="704"/>
      <c r="G58" s="704"/>
      <c r="H58" s="705">
        <f t="shared" si="5"/>
        <v>0</v>
      </c>
    </row>
    <row r="59" spans="1:8">
      <c r="A59" s="452">
        <v>27</v>
      </c>
      <c r="B59" s="418" t="s">
        <v>769</v>
      </c>
      <c r="C59" s="704">
        <f>SUM(C60:C61)</f>
        <v>0</v>
      </c>
      <c r="D59" s="704">
        <f>SUM(D60:D61)</f>
        <v>0</v>
      </c>
      <c r="E59" s="705">
        <f t="shared" si="4"/>
        <v>0</v>
      </c>
      <c r="F59" s="704"/>
      <c r="G59" s="704"/>
      <c r="H59" s="705">
        <f t="shared" si="5"/>
        <v>0</v>
      </c>
    </row>
    <row r="60" spans="1:8">
      <c r="A60" s="452">
        <v>27.1</v>
      </c>
      <c r="B60" s="430" t="s">
        <v>770</v>
      </c>
      <c r="C60" s="704"/>
      <c r="D60" s="704"/>
      <c r="E60" s="705">
        <f t="shared" si="4"/>
        <v>0</v>
      </c>
      <c r="F60" s="704"/>
      <c r="G60" s="704"/>
      <c r="H60" s="705">
        <f t="shared" si="5"/>
        <v>0</v>
      </c>
    </row>
    <row r="61" spans="1:8">
      <c r="A61" s="452">
        <v>27.2</v>
      </c>
      <c r="B61" s="428" t="s">
        <v>771</v>
      </c>
      <c r="C61" s="704"/>
      <c r="D61" s="704"/>
      <c r="E61" s="705">
        <f t="shared" si="4"/>
        <v>0</v>
      </c>
      <c r="F61" s="704"/>
      <c r="G61" s="704"/>
      <c r="H61" s="705">
        <f t="shared" si="5"/>
        <v>0</v>
      </c>
    </row>
    <row r="62" spans="1:8">
      <c r="A62" s="452">
        <v>28</v>
      </c>
      <c r="B62" s="433" t="s">
        <v>772</v>
      </c>
      <c r="C62" s="704"/>
      <c r="D62" s="704"/>
      <c r="E62" s="705">
        <f t="shared" si="4"/>
        <v>0</v>
      </c>
      <c r="F62" s="704"/>
      <c r="G62" s="704"/>
      <c r="H62" s="705">
        <f t="shared" si="5"/>
        <v>0</v>
      </c>
    </row>
    <row r="63" spans="1:8">
      <c r="A63" s="452">
        <v>29</v>
      </c>
      <c r="B63" s="418" t="s">
        <v>773</v>
      </c>
      <c r="C63" s="704">
        <f>SUM(C64:C66)</f>
        <v>0</v>
      </c>
      <c r="D63" s="704">
        <f>SUM(D64:D66)</f>
        <v>0</v>
      </c>
      <c r="E63" s="705">
        <f t="shared" si="4"/>
        <v>0</v>
      </c>
      <c r="F63" s="704"/>
      <c r="G63" s="704"/>
      <c r="H63" s="705">
        <f t="shared" si="5"/>
        <v>0</v>
      </c>
    </row>
    <row r="64" spans="1:8">
      <c r="A64" s="452">
        <v>29.1</v>
      </c>
      <c r="B64" s="419" t="s">
        <v>774</v>
      </c>
      <c r="C64" s="704"/>
      <c r="D64" s="704"/>
      <c r="E64" s="705">
        <f t="shared" si="4"/>
        <v>0</v>
      </c>
      <c r="F64" s="704"/>
      <c r="G64" s="704"/>
      <c r="H64" s="705">
        <f t="shared" si="5"/>
        <v>0</v>
      </c>
    </row>
    <row r="65" spans="1:8" ht="25.05" customHeight="1">
      <c r="A65" s="452">
        <v>29.2</v>
      </c>
      <c r="B65" s="430" t="s">
        <v>775</v>
      </c>
      <c r="C65" s="704"/>
      <c r="D65" s="704"/>
      <c r="E65" s="705">
        <f t="shared" si="4"/>
        <v>0</v>
      </c>
      <c r="F65" s="704"/>
      <c r="G65" s="704"/>
      <c r="H65" s="705">
        <f t="shared" si="5"/>
        <v>0</v>
      </c>
    </row>
    <row r="66" spans="1:8" ht="22.5" customHeight="1">
      <c r="A66" s="452">
        <v>29.3</v>
      </c>
      <c r="B66" s="422" t="s">
        <v>776</v>
      </c>
      <c r="C66" s="704"/>
      <c r="D66" s="704"/>
      <c r="E66" s="705">
        <f t="shared" si="4"/>
        <v>0</v>
      </c>
      <c r="F66" s="704"/>
      <c r="G66" s="704"/>
      <c r="H66" s="705">
        <f t="shared" si="5"/>
        <v>0</v>
      </c>
    </row>
    <row r="67" spans="1:8">
      <c r="A67" s="452">
        <v>30</v>
      </c>
      <c r="B67" s="418" t="s">
        <v>103</v>
      </c>
      <c r="C67" s="704">
        <v>262719670.99000561</v>
      </c>
      <c r="D67" s="704"/>
      <c r="E67" s="705">
        <f t="shared" si="4"/>
        <v>262719670.99000561</v>
      </c>
      <c r="F67" s="704">
        <v>225839179.50999999</v>
      </c>
      <c r="G67" s="704"/>
      <c r="H67" s="705">
        <f t="shared" si="5"/>
        <v>225839179.50999999</v>
      </c>
    </row>
    <row r="68" spans="1:8">
      <c r="A68" s="452">
        <v>31</v>
      </c>
      <c r="B68" s="435" t="s">
        <v>777</v>
      </c>
      <c r="C68" s="704">
        <f>SUM(C55,C56,C57,C58,C59,C62,C63,C67)</f>
        <v>305031958.51000559</v>
      </c>
      <c r="D68" s="704">
        <f>SUM(D55,D56,D57,D58,D59,D62,D63,D67)</f>
        <v>0</v>
      </c>
      <c r="E68" s="705">
        <f t="shared" si="4"/>
        <v>305031958.51000559</v>
      </c>
      <c r="F68" s="704">
        <f>SUM(F55,F56,F57,F58,F59,F62,F63,F67)</f>
        <v>266707934.81999999</v>
      </c>
      <c r="G68" s="704">
        <f>SUM(G55,G56,G57,G58,G59,G62,G63,G67)</f>
        <v>0</v>
      </c>
      <c r="H68" s="705">
        <f t="shared" si="5"/>
        <v>266707934.81999999</v>
      </c>
    </row>
    <row r="69" spans="1:8">
      <c r="A69" s="452">
        <v>32</v>
      </c>
      <c r="B69" s="436" t="s">
        <v>778</v>
      </c>
      <c r="C69" s="704">
        <f>SUM(C53,C68)</f>
        <v>1856247335.2500057</v>
      </c>
      <c r="D69" s="704">
        <f>SUM(D53,D68)</f>
        <v>609759185.03999996</v>
      </c>
      <c r="E69" s="705">
        <f t="shared" si="4"/>
        <v>2466006520.2900057</v>
      </c>
      <c r="F69" s="704">
        <f>SUM(F53,F68)</f>
        <v>1646925506.0100002</v>
      </c>
      <c r="G69" s="704">
        <f>SUM(G53,G68)</f>
        <v>540537666.46000004</v>
      </c>
      <c r="H69" s="705">
        <f t="shared" si="5"/>
        <v>2187463172.4700003</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ignoredErrors>
    <ignoredError sqref="E15 E19"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212" zoomScale="90" zoomScaleNormal="90" workbookViewId="0">
      <selection activeCell="B202" sqref="B202:C202"/>
    </sheetView>
  </sheetViews>
  <sheetFormatPr defaultColWidth="43.5546875" defaultRowHeight="12"/>
  <cols>
    <col min="1" max="1" width="8" style="156" customWidth="1"/>
    <col min="2" max="2" width="66.21875" style="157" customWidth="1"/>
    <col min="3" max="3" width="131.44140625" style="158" customWidth="1"/>
    <col min="4" max="5" width="10.21875" style="149" customWidth="1"/>
    <col min="6" max="16384" width="43.5546875" style="149"/>
  </cols>
  <sheetData>
    <row r="1" spans="1:3" ht="13.2" thickTop="1" thickBot="1">
      <c r="A1" s="940" t="s">
        <v>187</v>
      </c>
      <c r="B1" s="941"/>
      <c r="C1" s="942"/>
    </row>
    <row r="2" spans="1:3" ht="26.25" customHeight="1">
      <c r="A2" s="400"/>
      <c r="B2" s="943" t="s">
        <v>188</v>
      </c>
      <c r="C2" s="943"/>
    </row>
    <row r="3" spans="1:3" s="154" customFormat="1" ht="11.25" customHeight="1">
      <c r="A3" s="153"/>
      <c r="B3" s="943" t="s">
        <v>263</v>
      </c>
      <c r="C3" s="943"/>
    </row>
    <row r="4" spans="1:3" ht="12" customHeight="1" thickBot="1">
      <c r="A4" s="944" t="s">
        <v>267</v>
      </c>
      <c r="B4" s="945"/>
      <c r="C4" s="946"/>
    </row>
    <row r="5" spans="1:3" ht="12.6" thickTop="1">
      <c r="A5" s="150"/>
      <c r="B5" s="947" t="s">
        <v>189</v>
      </c>
      <c r="C5" s="948"/>
    </row>
    <row r="6" spans="1:3">
      <c r="A6" s="400"/>
      <c r="B6" s="949" t="s">
        <v>264</v>
      </c>
      <c r="C6" s="950"/>
    </row>
    <row r="7" spans="1:3">
      <c r="A7" s="400"/>
      <c r="B7" s="949" t="s">
        <v>190</v>
      </c>
      <c r="C7" s="950"/>
    </row>
    <row r="8" spans="1:3">
      <c r="A8" s="400"/>
      <c r="B8" s="949" t="s">
        <v>265</v>
      </c>
      <c r="C8" s="950"/>
    </row>
    <row r="9" spans="1:3">
      <c r="A9" s="400"/>
      <c r="B9" s="953" t="s">
        <v>266</v>
      </c>
      <c r="C9" s="954"/>
    </row>
    <row r="10" spans="1:3">
      <c r="A10" s="400"/>
      <c r="B10" s="951" t="s">
        <v>191</v>
      </c>
      <c r="C10" s="952" t="s">
        <v>191</v>
      </c>
    </row>
    <row r="11" spans="1:3">
      <c r="A11" s="400"/>
      <c r="B11" s="951" t="s">
        <v>192</v>
      </c>
      <c r="C11" s="952" t="s">
        <v>192</v>
      </c>
    </row>
    <row r="12" spans="1:3">
      <c r="A12" s="400"/>
      <c r="B12" s="951" t="s">
        <v>193</v>
      </c>
      <c r="C12" s="952" t="s">
        <v>193</v>
      </c>
    </row>
    <row r="13" spans="1:3">
      <c r="A13" s="400"/>
      <c r="B13" s="951" t="s">
        <v>194</v>
      </c>
      <c r="C13" s="952" t="s">
        <v>194</v>
      </c>
    </row>
    <row r="14" spans="1:3">
      <c r="A14" s="400"/>
      <c r="B14" s="951" t="s">
        <v>195</v>
      </c>
      <c r="C14" s="952" t="s">
        <v>195</v>
      </c>
    </row>
    <row r="15" spans="1:3" ht="21.75" customHeight="1">
      <c r="A15" s="400"/>
      <c r="B15" s="951" t="s">
        <v>196</v>
      </c>
      <c r="C15" s="952" t="s">
        <v>196</v>
      </c>
    </row>
    <row r="16" spans="1:3">
      <c r="A16" s="400"/>
      <c r="B16" s="951" t="s">
        <v>197</v>
      </c>
      <c r="C16" s="952" t="s">
        <v>198</v>
      </c>
    </row>
    <row r="17" spans="1:3">
      <c r="A17" s="400"/>
      <c r="B17" s="951" t="s">
        <v>199</v>
      </c>
      <c r="C17" s="952" t="s">
        <v>200</v>
      </c>
    </row>
    <row r="18" spans="1:3">
      <c r="A18" s="400"/>
      <c r="B18" s="951" t="s">
        <v>201</v>
      </c>
      <c r="C18" s="952" t="s">
        <v>202</v>
      </c>
    </row>
    <row r="19" spans="1:3">
      <c r="A19" s="400"/>
      <c r="B19" s="951" t="s">
        <v>203</v>
      </c>
      <c r="C19" s="952" t="s">
        <v>203</v>
      </c>
    </row>
    <row r="20" spans="1:3">
      <c r="A20" s="400"/>
      <c r="B20" s="951" t="s">
        <v>204</v>
      </c>
      <c r="C20" s="952" t="s">
        <v>204</v>
      </c>
    </row>
    <row r="21" spans="1:3">
      <c r="A21" s="400"/>
      <c r="B21" s="951" t="s">
        <v>205</v>
      </c>
      <c r="C21" s="952" t="s">
        <v>205</v>
      </c>
    </row>
    <row r="22" spans="1:3" ht="23.25" customHeight="1">
      <c r="A22" s="400"/>
      <c r="B22" s="951" t="s">
        <v>206</v>
      </c>
      <c r="C22" s="952" t="s">
        <v>207</v>
      </c>
    </row>
    <row r="23" spans="1:3">
      <c r="A23" s="400"/>
      <c r="B23" s="951" t="s">
        <v>208</v>
      </c>
      <c r="C23" s="952" t="s">
        <v>208</v>
      </c>
    </row>
    <row r="24" spans="1:3">
      <c r="A24" s="400"/>
      <c r="B24" s="951" t="s">
        <v>209</v>
      </c>
      <c r="C24" s="952" t="s">
        <v>210</v>
      </c>
    </row>
    <row r="25" spans="1:3" ht="12.6" thickBot="1">
      <c r="A25" s="151"/>
      <c r="B25" s="960" t="s">
        <v>211</v>
      </c>
      <c r="C25" s="961"/>
    </row>
    <row r="26" spans="1:3" ht="13.2" thickTop="1" thickBot="1">
      <c r="A26" s="944" t="s">
        <v>847</v>
      </c>
      <c r="B26" s="945"/>
      <c r="C26" s="946"/>
    </row>
    <row r="27" spans="1:3" ht="13.2" thickTop="1" thickBot="1">
      <c r="A27" s="152"/>
      <c r="B27" s="962" t="s">
        <v>848</v>
      </c>
      <c r="C27" s="963"/>
    </row>
    <row r="28" spans="1:3" ht="13.2" thickTop="1" thickBot="1">
      <c r="A28" s="944" t="s">
        <v>268</v>
      </c>
      <c r="B28" s="945"/>
      <c r="C28" s="946"/>
    </row>
    <row r="29" spans="1:3" ht="12.6" thickTop="1">
      <c r="A29" s="150"/>
      <c r="B29" s="964" t="s">
        <v>851</v>
      </c>
      <c r="C29" s="965" t="s">
        <v>212</v>
      </c>
    </row>
    <row r="30" spans="1:3">
      <c r="A30" s="400"/>
      <c r="B30" s="955" t="s">
        <v>216</v>
      </c>
      <c r="C30" s="956" t="s">
        <v>213</v>
      </c>
    </row>
    <row r="31" spans="1:3">
      <c r="A31" s="400"/>
      <c r="B31" s="955" t="s">
        <v>849</v>
      </c>
      <c r="C31" s="956" t="s">
        <v>214</v>
      </c>
    </row>
    <row r="32" spans="1:3">
      <c r="A32" s="400"/>
      <c r="B32" s="955" t="s">
        <v>850</v>
      </c>
      <c r="C32" s="956" t="s">
        <v>215</v>
      </c>
    </row>
    <row r="33" spans="1:3">
      <c r="A33" s="400"/>
      <c r="B33" s="955" t="s">
        <v>219</v>
      </c>
      <c r="C33" s="956" t="s">
        <v>220</v>
      </c>
    </row>
    <row r="34" spans="1:3">
      <c r="A34" s="400"/>
      <c r="B34" s="955" t="s">
        <v>852</v>
      </c>
      <c r="C34" s="956" t="s">
        <v>217</v>
      </c>
    </row>
    <row r="35" spans="1:3">
      <c r="A35" s="400"/>
      <c r="B35" s="955" t="s">
        <v>853</v>
      </c>
      <c r="C35" s="956" t="s">
        <v>218</v>
      </c>
    </row>
    <row r="36" spans="1:3">
      <c r="A36" s="400"/>
      <c r="B36" s="957" t="s">
        <v>854</v>
      </c>
      <c r="C36" s="958"/>
    </row>
    <row r="37" spans="1:3" ht="24.75" customHeight="1">
      <c r="A37" s="400"/>
      <c r="B37" s="955" t="s">
        <v>855</v>
      </c>
      <c r="C37" s="956" t="s">
        <v>221</v>
      </c>
    </row>
    <row r="38" spans="1:3" ht="23.25" customHeight="1">
      <c r="A38" s="400"/>
      <c r="B38" s="955" t="s">
        <v>856</v>
      </c>
      <c r="C38" s="956" t="s">
        <v>222</v>
      </c>
    </row>
    <row r="39" spans="1:3" ht="23.25" customHeight="1">
      <c r="A39" s="466"/>
      <c r="B39" s="957" t="s">
        <v>857</v>
      </c>
      <c r="C39" s="959"/>
    </row>
    <row r="40" spans="1:3" ht="12" customHeight="1">
      <c r="A40" s="400"/>
      <c r="B40" s="955" t="s">
        <v>858</v>
      </c>
      <c r="C40" s="956"/>
    </row>
    <row r="41" spans="1:3" ht="12.6" thickBot="1">
      <c r="A41" s="944" t="s">
        <v>269</v>
      </c>
      <c r="B41" s="945"/>
      <c r="C41" s="946"/>
    </row>
    <row r="42" spans="1:3" ht="12.6" thickTop="1">
      <c r="A42" s="150"/>
      <c r="B42" s="947" t="s">
        <v>299</v>
      </c>
      <c r="C42" s="948" t="s">
        <v>223</v>
      </c>
    </row>
    <row r="43" spans="1:3">
      <c r="A43" s="400"/>
      <c r="B43" s="949" t="s">
        <v>298</v>
      </c>
      <c r="C43" s="950"/>
    </row>
    <row r="44" spans="1:3" ht="23.25" customHeight="1" thickBot="1">
      <c r="A44" s="151"/>
      <c r="B44" s="966" t="s">
        <v>224</v>
      </c>
      <c r="C44" s="967" t="s">
        <v>225</v>
      </c>
    </row>
    <row r="45" spans="1:3" ht="11.25" customHeight="1" thickTop="1" thickBot="1">
      <c r="A45" s="944" t="s">
        <v>270</v>
      </c>
      <c r="B45" s="945"/>
      <c r="C45" s="946"/>
    </row>
    <row r="46" spans="1:3" ht="26.25" customHeight="1" thickTop="1">
      <c r="A46" s="400"/>
      <c r="B46" s="949" t="s">
        <v>271</v>
      </c>
      <c r="C46" s="950"/>
    </row>
    <row r="47" spans="1:3" ht="12.6" thickBot="1">
      <c r="A47" s="944" t="s">
        <v>272</v>
      </c>
      <c r="B47" s="945"/>
      <c r="C47" s="946"/>
    </row>
    <row r="48" spans="1:3" ht="12.6" thickTop="1">
      <c r="A48" s="150"/>
      <c r="B48" s="947" t="s">
        <v>226</v>
      </c>
      <c r="C48" s="948" t="s">
        <v>226</v>
      </c>
    </row>
    <row r="49" spans="1:3" ht="11.25" customHeight="1">
      <c r="A49" s="400"/>
      <c r="B49" s="949" t="s">
        <v>227</v>
      </c>
      <c r="C49" s="950" t="s">
        <v>227</v>
      </c>
    </row>
    <row r="50" spans="1:3">
      <c r="A50" s="400"/>
      <c r="B50" s="949" t="s">
        <v>228</v>
      </c>
      <c r="C50" s="950" t="s">
        <v>228</v>
      </c>
    </row>
    <row r="51" spans="1:3" ht="11.25" customHeight="1">
      <c r="A51" s="400"/>
      <c r="B51" s="949" t="s">
        <v>860</v>
      </c>
      <c r="C51" s="950" t="s">
        <v>229</v>
      </c>
    </row>
    <row r="52" spans="1:3" ht="33.6" customHeight="1">
      <c r="A52" s="400"/>
      <c r="B52" s="949" t="s">
        <v>230</v>
      </c>
      <c r="C52" s="950" t="s">
        <v>230</v>
      </c>
    </row>
    <row r="53" spans="1:3" ht="11.25" customHeight="1">
      <c r="A53" s="400"/>
      <c r="B53" s="949" t="s">
        <v>319</v>
      </c>
      <c r="C53" s="950" t="s">
        <v>231</v>
      </c>
    </row>
    <row r="54" spans="1:3" ht="11.25" customHeight="1" thickBot="1">
      <c r="A54" s="944" t="s">
        <v>273</v>
      </c>
      <c r="B54" s="945"/>
      <c r="C54" s="946"/>
    </row>
    <row r="55" spans="1:3" ht="12.6" thickTop="1">
      <c r="A55" s="150"/>
      <c r="B55" s="947" t="s">
        <v>226</v>
      </c>
      <c r="C55" s="948" t="s">
        <v>226</v>
      </c>
    </row>
    <row r="56" spans="1:3">
      <c r="A56" s="400"/>
      <c r="B56" s="949" t="s">
        <v>232</v>
      </c>
      <c r="C56" s="950" t="s">
        <v>232</v>
      </c>
    </row>
    <row r="57" spans="1:3">
      <c r="A57" s="400"/>
      <c r="B57" s="949" t="s">
        <v>276</v>
      </c>
      <c r="C57" s="950" t="s">
        <v>233</v>
      </c>
    </row>
    <row r="58" spans="1:3">
      <c r="A58" s="400"/>
      <c r="B58" s="949" t="s">
        <v>234</v>
      </c>
      <c r="C58" s="950" t="s">
        <v>234</v>
      </c>
    </row>
    <row r="59" spans="1:3">
      <c r="A59" s="400"/>
      <c r="B59" s="949" t="s">
        <v>235</v>
      </c>
      <c r="C59" s="950" t="s">
        <v>235</v>
      </c>
    </row>
    <row r="60" spans="1:3">
      <c r="A60" s="400"/>
      <c r="B60" s="949" t="s">
        <v>236</v>
      </c>
      <c r="C60" s="950" t="s">
        <v>236</v>
      </c>
    </row>
    <row r="61" spans="1:3">
      <c r="A61" s="400"/>
      <c r="B61" s="949" t="s">
        <v>277</v>
      </c>
      <c r="C61" s="950" t="s">
        <v>237</v>
      </c>
    </row>
    <row r="62" spans="1:3">
      <c r="A62" s="400"/>
      <c r="B62" s="949" t="s">
        <v>238</v>
      </c>
      <c r="C62" s="950" t="s">
        <v>238</v>
      </c>
    </row>
    <row r="63" spans="1:3" ht="12.6" thickBot="1">
      <c r="A63" s="151"/>
      <c r="B63" s="966" t="s">
        <v>239</v>
      </c>
      <c r="C63" s="967" t="s">
        <v>239</v>
      </c>
    </row>
    <row r="64" spans="1:3" ht="11.25" customHeight="1" thickTop="1">
      <c r="A64" s="970" t="s">
        <v>274</v>
      </c>
      <c r="B64" s="971"/>
      <c r="C64" s="972"/>
    </row>
    <row r="65" spans="1:3" ht="12.6" thickBot="1">
      <c r="A65" s="151"/>
      <c r="B65" s="966" t="s">
        <v>240</v>
      </c>
      <c r="C65" s="967" t="s">
        <v>240</v>
      </c>
    </row>
    <row r="66" spans="1:3" ht="11.25" customHeight="1" thickTop="1" thickBot="1">
      <c r="A66" s="944" t="s">
        <v>275</v>
      </c>
      <c r="B66" s="945"/>
      <c r="C66" s="946"/>
    </row>
    <row r="67" spans="1:3" ht="12.6" thickTop="1">
      <c r="A67" s="150"/>
      <c r="B67" s="947" t="s">
        <v>241</v>
      </c>
      <c r="C67" s="948" t="s">
        <v>241</v>
      </c>
    </row>
    <row r="68" spans="1:3">
      <c r="A68" s="400"/>
      <c r="B68" s="949" t="s">
        <v>862</v>
      </c>
      <c r="C68" s="950" t="s">
        <v>242</v>
      </c>
    </row>
    <row r="69" spans="1:3">
      <c r="A69" s="400"/>
      <c r="B69" s="949" t="s">
        <v>243</v>
      </c>
      <c r="C69" s="950" t="s">
        <v>243</v>
      </c>
    </row>
    <row r="70" spans="1:3" ht="55.05" customHeight="1">
      <c r="A70" s="400"/>
      <c r="B70" s="968" t="s">
        <v>689</v>
      </c>
      <c r="C70" s="969" t="s">
        <v>244</v>
      </c>
    </row>
    <row r="71" spans="1:3" ht="33.75" customHeight="1">
      <c r="A71" s="400"/>
      <c r="B71" s="968" t="s">
        <v>278</v>
      </c>
      <c r="C71" s="969" t="s">
        <v>245</v>
      </c>
    </row>
    <row r="72" spans="1:3" ht="15.75" customHeight="1">
      <c r="A72" s="400"/>
      <c r="B72" s="968" t="s">
        <v>863</v>
      </c>
      <c r="C72" s="969" t="s">
        <v>246</v>
      </c>
    </row>
    <row r="73" spans="1:3">
      <c r="A73" s="400"/>
      <c r="B73" s="949" t="s">
        <v>247</v>
      </c>
      <c r="C73" s="950" t="s">
        <v>247</v>
      </c>
    </row>
    <row r="74" spans="1:3" ht="12.6" thickBot="1">
      <c r="A74" s="151"/>
      <c r="B74" s="966" t="s">
        <v>248</v>
      </c>
      <c r="C74" s="967" t="s">
        <v>248</v>
      </c>
    </row>
    <row r="75" spans="1:3" ht="12.6" thickTop="1">
      <c r="A75" s="970" t="s">
        <v>302</v>
      </c>
      <c r="B75" s="971"/>
      <c r="C75" s="972"/>
    </row>
    <row r="76" spans="1:3">
      <c r="A76" s="400"/>
      <c r="B76" s="949" t="s">
        <v>240</v>
      </c>
      <c r="C76" s="950"/>
    </row>
    <row r="77" spans="1:3">
      <c r="A77" s="400"/>
      <c r="B77" s="949" t="s">
        <v>300</v>
      </c>
      <c r="C77" s="950"/>
    </row>
    <row r="78" spans="1:3">
      <c r="A78" s="400"/>
      <c r="B78" s="949" t="s">
        <v>301</v>
      </c>
      <c r="C78" s="950"/>
    </row>
    <row r="79" spans="1:3">
      <c r="A79" s="970" t="s">
        <v>303</v>
      </c>
      <c r="B79" s="971"/>
      <c r="C79" s="972"/>
    </row>
    <row r="80" spans="1:3">
      <c r="A80" s="400"/>
      <c r="B80" s="949" t="s">
        <v>240</v>
      </c>
      <c r="C80" s="950"/>
    </row>
    <row r="81" spans="1:3">
      <c r="A81" s="400"/>
      <c r="B81" s="949" t="s">
        <v>304</v>
      </c>
      <c r="C81" s="950"/>
    </row>
    <row r="82" spans="1:3" ht="79.5" customHeight="1">
      <c r="A82" s="400"/>
      <c r="B82" s="949" t="s">
        <v>318</v>
      </c>
      <c r="C82" s="950"/>
    </row>
    <row r="83" spans="1:3" ht="53.25" customHeight="1">
      <c r="A83" s="400"/>
      <c r="B83" s="949" t="s">
        <v>317</v>
      </c>
      <c r="C83" s="950"/>
    </row>
    <row r="84" spans="1:3">
      <c r="A84" s="400"/>
      <c r="B84" s="949" t="s">
        <v>305</v>
      </c>
      <c r="C84" s="950"/>
    </row>
    <row r="85" spans="1:3">
      <c r="A85" s="400"/>
      <c r="B85" s="949" t="s">
        <v>306</v>
      </c>
      <c r="C85" s="950"/>
    </row>
    <row r="86" spans="1:3">
      <c r="A86" s="400"/>
      <c r="B86" s="949" t="s">
        <v>307</v>
      </c>
      <c r="C86" s="950"/>
    </row>
    <row r="87" spans="1:3">
      <c r="A87" s="970" t="s">
        <v>308</v>
      </c>
      <c r="B87" s="971"/>
      <c r="C87" s="972"/>
    </row>
    <row r="88" spans="1:3">
      <c r="A88" s="400"/>
      <c r="B88" s="949" t="s">
        <v>240</v>
      </c>
      <c r="C88" s="950"/>
    </row>
    <row r="89" spans="1:3">
      <c r="A89" s="400"/>
      <c r="B89" s="949" t="s">
        <v>310</v>
      </c>
      <c r="C89" s="950"/>
    </row>
    <row r="90" spans="1:3" ht="12" customHeight="1">
      <c r="A90" s="400"/>
      <c r="B90" s="949" t="s">
        <v>311</v>
      </c>
      <c r="C90" s="950"/>
    </row>
    <row r="91" spans="1:3">
      <c r="A91" s="400"/>
      <c r="B91" s="949" t="s">
        <v>312</v>
      </c>
      <c r="C91" s="950"/>
    </row>
    <row r="92" spans="1:3" ht="24.75" customHeight="1">
      <c r="A92" s="400"/>
      <c r="B92" s="973" t="s">
        <v>348</v>
      </c>
      <c r="C92" s="974"/>
    </row>
    <row r="93" spans="1:3" ht="24" customHeight="1">
      <c r="A93" s="400"/>
      <c r="B93" s="973" t="s">
        <v>349</v>
      </c>
      <c r="C93" s="974"/>
    </row>
    <row r="94" spans="1:3" ht="13.5" customHeight="1">
      <c r="A94" s="400"/>
      <c r="B94" s="975" t="s">
        <v>313</v>
      </c>
      <c r="C94" s="976"/>
    </row>
    <row r="95" spans="1:3" ht="11.25" customHeight="1" thickBot="1">
      <c r="A95" s="977" t="s">
        <v>344</v>
      </c>
      <c r="B95" s="978"/>
      <c r="C95" s="979"/>
    </row>
    <row r="96" spans="1:3" ht="13.2" thickTop="1" thickBot="1">
      <c r="A96" s="986" t="s">
        <v>249</v>
      </c>
      <c r="B96" s="986"/>
      <c r="C96" s="986"/>
    </row>
    <row r="97" spans="1:3">
      <c r="A97" s="232">
        <v>2</v>
      </c>
      <c r="B97" s="388" t="s">
        <v>324</v>
      </c>
      <c r="C97" s="388" t="s">
        <v>345</v>
      </c>
    </row>
    <row r="98" spans="1:3">
      <c r="A98" s="155">
        <v>3</v>
      </c>
      <c r="B98" s="389" t="s">
        <v>325</v>
      </c>
      <c r="C98" s="390" t="s">
        <v>346</v>
      </c>
    </row>
    <row r="99" spans="1:3">
      <c r="A99" s="155">
        <v>4</v>
      </c>
      <c r="B99" s="389" t="s">
        <v>326</v>
      </c>
      <c r="C99" s="390" t="s">
        <v>350</v>
      </c>
    </row>
    <row r="100" spans="1:3" ht="11.25" customHeight="1">
      <c r="A100" s="155">
        <v>5</v>
      </c>
      <c r="B100" s="389" t="s">
        <v>327</v>
      </c>
      <c r="C100" s="390" t="s">
        <v>347</v>
      </c>
    </row>
    <row r="101" spans="1:3" ht="12" customHeight="1">
      <c r="A101" s="155">
        <v>6</v>
      </c>
      <c r="B101" s="389" t="s">
        <v>342</v>
      </c>
      <c r="C101" s="390" t="s">
        <v>328</v>
      </c>
    </row>
    <row r="102" spans="1:3" ht="12" customHeight="1">
      <c r="A102" s="155">
        <v>7</v>
      </c>
      <c r="B102" s="389" t="s">
        <v>329</v>
      </c>
      <c r="C102" s="390" t="s">
        <v>343</v>
      </c>
    </row>
    <row r="103" spans="1:3">
      <c r="A103" s="155">
        <v>8</v>
      </c>
      <c r="B103" s="389" t="s">
        <v>334</v>
      </c>
      <c r="C103" s="390" t="s">
        <v>354</v>
      </c>
    </row>
    <row r="104" spans="1:3" ht="11.25" customHeight="1">
      <c r="A104" s="970" t="s">
        <v>314</v>
      </c>
      <c r="B104" s="971"/>
      <c r="C104" s="972"/>
    </row>
    <row r="105" spans="1:3" ht="12" customHeight="1">
      <c r="A105" s="400"/>
      <c r="B105" s="949" t="s">
        <v>240</v>
      </c>
      <c r="C105" s="950"/>
    </row>
    <row r="106" spans="1:3">
      <c r="A106" s="970" t="s">
        <v>489</v>
      </c>
      <c r="B106" s="971"/>
      <c r="C106" s="972"/>
    </row>
    <row r="107" spans="1:3" ht="12" customHeight="1">
      <c r="A107" s="400"/>
      <c r="B107" s="949" t="s">
        <v>491</v>
      </c>
      <c r="C107" s="950"/>
    </row>
    <row r="108" spans="1:3">
      <c r="A108" s="400"/>
      <c r="B108" s="949" t="s">
        <v>492</v>
      </c>
      <c r="C108" s="950"/>
    </row>
    <row r="109" spans="1:3">
      <c r="A109" s="400"/>
      <c r="B109" s="949" t="s">
        <v>490</v>
      </c>
      <c r="C109" s="950"/>
    </row>
    <row r="110" spans="1:3">
      <c r="A110" s="980" t="s">
        <v>727</v>
      </c>
      <c r="B110" s="980"/>
      <c r="C110" s="980"/>
    </row>
    <row r="111" spans="1:3">
      <c r="A111" s="981" t="s">
        <v>187</v>
      </c>
      <c r="B111" s="981"/>
      <c r="C111" s="981"/>
    </row>
    <row r="112" spans="1:3">
      <c r="A112" s="613">
        <v>1</v>
      </c>
      <c r="B112" s="982" t="s">
        <v>607</v>
      </c>
      <c r="C112" s="983"/>
    </row>
    <row r="113" spans="1:3">
      <c r="A113" s="613">
        <v>2</v>
      </c>
      <c r="B113" s="984" t="s">
        <v>608</v>
      </c>
      <c r="C113" s="985"/>
    </row>
    <row r="114" spans="1:3">
      <c r="A114" s="613">
        <v>3</v>
      </c>
      <c r="B114" s="982" t="s">
        <v>944</v>
      </c>
      <c r="C114" s="983"/>
    </row>
    <row r="115" spans="1:3">
      <c r="A115" s="613">
        <v>4</v>
      </c>
      <c r="B115" s="982" t="s">
        <v>943</v>
      </c>
      <c r="C115" s="983"/>
    </row>
    <row r="116" spans="1:3">
      <c r="A116" s="613">
        <v>5</v>
      </c>
      <c r="B116" s="617" t="s">
        <v>942</v>
      </c>
      <c r="C116" s="616"/>
    </row>
    <row r="117" spans="1:3">
      <c r="A117" s="613">
        <v>6</v>
      </c>
      <c r="B117" s="982" t="s">
        <v>941</v>
      </c>
      <c r="C117" s="983"/>
    </row>
    <row r="118" spans="1:3">
      <c r="A118" s="613">
        <v>7</v>
      </c>
      <c r="B118" s="982" t="s">
        <v>940</v>
      </c>
      <c r="C118" s="983"/>
    </row>
    <row r="119" spans="1:3">
      <c r="A119" s="590">
        <v>8</v>
      </c>
      <c r="B119" s="585" t="s">
        <v>634</v>
      </c>
      <c r="C119" s="610" t="s">
        <v>939</v>
      </c>
    </row>
    <row r="120" spans="1:3" ht="24">
      <c r="A120" s="613">
        <v>9.01</v>
      </c>
      <c r="B120" s="585" t="s">
        <v>518</v>
      </c>
      <c r="C120" s="586" t="s">
        <v>684</v>
      </c>
    </row>
    <row r="121" spans="1:3" ht="36">
      <c r="A121" s="613">
        <v>9.02</v>
      </c>
      <c r="B121" s="585" t="s">
        <v>519</v>
      </c>
      <c r="C121" s="586" t="s">
        <v>687</v>
      </c>
    </row>
    <row r="122" spans="1:3">
      <c r="A122" s="613">
        <v>9.0299999999999994</v>
      </c>
      <c r="B122" s="586" t="s">
        <v>871</v>
      </c>
      <c r="C122" s="586" t="s">
        <v>609</v>
      </c>
    </row>
    <row r="123" spans="1:3">
      <c r="A123" s="613">
        <v>9.0399999999999991</v>
      </c>
      <c r="B123" s="585" t="s">
        <v>520</v>
      </c>
      <c r="C123" s="586" t="s">
        <v>610</v>
      </c>
    </row>
    <row r="124" spans="1:3">
      <c r="A124" s="613">
        <v>9.0500000000000007</v>
      </c>
      <c r="B124" s="585" t="s">
        <v>521</v>
      </c>
      <c r="C124" s="586" t="s">
        <v>611</v>
      </c>
    </row>
    <row r="125" spans="1:3" ht="24">
      <c r="A125" s="613">
        <v>9.06</v>
      </c>
      <c r="B125" s="585" t="s">
        <v>522</v>
      </c>
      <c r="C125" s="586" t="s">
        <v>612</v>
      </c>
    </row>
    <row r="126" spans="1:3">
      <c r="A126" s="613">
        <v>9.07</v>
      </c>
      <c r="B126" s="615" t="s">
        <v>523</v>
      </c>
      <c r="C126" s="586" t="s">
        <v>613</v>
      </c>
    </row>
    <row r="127" spans="1:3" ht="24">
      <c r="A127" s="613">
        <v>9.08</v>
      </c>
      <c r="B127" s="585" t="s">
        <v>524</v>
      </c>
      <c r="C127" s="586" t="s">
        <v>614</v>
      </c>
    </row>
    <row r="128" spans="1:3" ht="24">
      <c r="A128" s="613">
        <v>9.09</v>
      </c>
      <c r="B128" s="585" t="s">
        <v>525</v>
      </c>
      <c r="C128" s="586" t="s">
        <v>615</v>
      </c>
    </row>
    <row r="129" spans="1:3">
      <c r="A129" s="614">
        <v>9.1</v>
      </c>
      <c r="B129" s="585" t="s">
        <v>526</v>
      </c>
      <c r="C129" s="586" t="s">
        <v>616</v>
      </c>
    </row>
    <row r="130" spans="1:3">
      <c r="A130" s="613">
        <v>9.11</v>
      </c>
      <c r="B130" s="585" t="s">
        <v>527</v>
      </c>
      <c r="C130" s="586" t="s">
        <v>617</v>
      </c>
    </row>
    <row r="131" spans="1:3">
      <c r="A131" s="613">
        <v>9.1199999999999992</v>
      </c>
      <c r="B131" s="585" t="s">
        <v>528</v>
      </c>
      <c r="C131" s="586" t="s">
        <v>618</v>
      </c>
    </row>
    <row r="132" spans="1:3">
      <c r="A132" s="613">
        <v>9.1300000000000008</v>
      </c>
      <c r="B132" s="585" t="s">
        <v>529</v>
      </c>
      <c r="C132" s="586" t="s">
        <v>619</v>
      </c>
    </row>
    <row r="133" spans="1:3">
      <c r="A133" s="613">
        <v>9.14</v>
      </c>
      <c r="B133" s="585" t="s">
        <v>530</v>
      </c>
      <c r="C133" s="586" t="s">
        <v>620</v>
      </c>
    </row>
    <row r="134" spans="1:3">
      <c r="A134" s="613">
        <v>9.15</v>
      </c>
      <c r="B134" s="585" t="s">
        <v>531</v>
      </c>
      <c r="C134" s="586" t="s">
        <v>621</v>
      </c>
    </row>
    <row r="135" spans="1:3">
      <c r="A135" s="613">
        <v>9.16</v>
      </c>
      <c r="B135" s="585" t="s">
        <v>532</v>
      </c>
      <c r="C135" s="586" t="s">
        <v>622</v>
      </c>
    </row>
    <row r="136" spans="1:3">
      <c r="A136" s="613">
        <v>9.17</v>
      </c>
      <c r="B136" s="586" t="s">
        <v>533</v>
      </c>
      <c r="C136" s="586" t="s">
        <v>623</v>
      </c>
    </row>
    <row r="137" spans="1:3" ht="24">
      <c r="A137" s="613">
        <v>9.18</v>
      </c>
      <c r="B137" s="585" t="s">
        <v>534</v>
      </c>
      <c r="C137" s="586" t="s">
        <v>624</v>
      </c>
    </row>
    <row r="138" spans="1:3">
      <c r="A138" s="613">
        <v>9.19</v>
      </c>
      <c r="B138" s="585" t="s">
        <v>535</v>
      </c>
      <c r="C138" s="586" t="s">
        <v>625</v>
      </c>
    </row>
    <row r="139" spans="1:3">
      <c r="A139" s="614">
        <v>9.1999999999999993</v>
      </c>
      <c r="B139" s="585" t="s">
        <v>536</v>
      </c>
      <c r="C139" s="586" t="s">
        <v>626</v>
      </c>
    </row>
    <row r="140" spans="1:3">
      <c r="A140" s="613">
        <v>9.2100000000000009</v>
      </c>
      <c r="B140" s="585" t="s">
        <v>537</v>
      </c>
      <c r="C140" s="586" t="s">
        <v>627</v>
      </c>
    </row>
    <row r="141" spans="1:3">
      <c r="A141" s="613">
        <v>9.2200000000000006</v>
      </c>
      <c r="B141" s="585" t="s">
        <v>538</v>
      </c>
      <c r="C141" s="586" t="s">
        <v>628</v>
      </c>
    </row>
    <row r="142" spans="1:3" ht="24">
      <c r="A142" s="613">
        <v>9.23</v>
      </c>
      <c r="B142" s="585" t="s">
        <v>539</v>
      </c>
      <c r="C142" s="586" t="s">
        <v>629</v>
      </c>
    </row>
    <row r="143" spans="1:3" ht="24">
      <c r="A143" s="613">
        <v>9.24</v>
      </c>
      <c r="B143" s="585" t="s">
        <v>540</v>
      </c>
      <c r="C143" s="586" t="s">
        <v>630</v>
      </c>
    </row>
    <row r="144" spans="1:3">
      <c r="A144" s="613">
        <v>9.2500000000000107</v>
      </c>
      <c r="B144" s="585" t="s">
        <v>541</v>
      </c>
      <c r="C144" s="586" t="s">
        <v>631</v>
      </c>
    </row>
    <row r="145" spans="1:3" ht="24">
      <c r="A145" s="613">
        <v>9.2600000000000193</v>
      </c>
      <c r="B145" s="585" t="s">
        <v>632</v>
      </c>
      <c r="C145" s="612" t="s">
        <v>633</v>
      </c>
    </row>
    <row r="146" spans="1:3" s="401" customFormat="1" ht="24">
      <c r="A146" s="613">
        <v>9.2700000000000298</v>
      </c>
      <c r="B146" s="585" t="s">
        <v>99</v>
      </c>
      <c r="C146" s="612" t="s">
        <v>685</v>
      </c>
    </row>
    <row r="147" spans="1:3" s="401" customFormat="1">
      <c r="A147" s="591"/>
      <c r="B147" s="988" t="s">
        <v>635</v>
      </c>
      <c r="C147" s="989"/>
    </row>
    <row r="148" spans="1:3" s="401" customFormat="1">
      <c r="A148" s="590">
        <v>1</v>
      </c>
      <c r="B148" s="990" t="s">
        <v>938</v>
      </c>
      <c r="C148" s="991"/>
    </row>
    <row r="149" spans="1:3" s="401" customFormat="1">
      <c r="A149" s="590">
        <v>2</v>
      </c>
      <c r="B149" s="990" t="s">
        <v>686</v>
      </c>
      <c r="C149" s="991"/>
    </row>
    <row r="150" spans="1:3" s="401" customFormat="1">
      <c r="A150" s="590">
        <v>3</v>
      </c>
      <c r="B150" s="990" t="s">
        <v>683</v>
      </c>
      <c r="C150" s="991"/>
    </row>
    <row r="151" spans="1:3" s="401" customFormat="1">
      <c r="A151" s="591"/>
      <c r="B151" s="988" t="s">
        <v>636</v>
      </c>
      <c r="C151" s="989"/>
    </row>
    <row r="152" spans="1:3" s="401" customFormat="1">
      <c r="A152" s="590">
        <v>1</v>
      </c>
      <c r="B152" s="993" t="s">
        <v>937</v>
      </c>
      <c r="C152" s="996"/>
    </row>
    <row r="153" spans="1:3" s="401" customFormat="1">
      <c r="A153" s="590">
        <v>2</v>
      </c>
      <c r="B153" s="585" t="s">
        <v>869</v>
      </c>
      <c r="C153" s="610" t="s">
        <v>922</v>
      </c>
    </row>
    <row r="154" spans="1:3" ht="24">
      <c r="A154" s="590">
        <v>3</v>
      </c>
      <c r="B154" s="585" t="s">
        <v>868</v>
      </c>
      <c r="C154" s="610" t="s">
        <v>936</v>
      </c>
    </row>
    <row r="155" spans="1:3">
      <c r="A155" s="590">
        <v>4</v>
      </c>
      <c r="B155" s="585" t="s">
        <v>511</v>
      </c>
      <c r="C155" s="585" t="s">
        <v>637</v>
      </c>
    </row>
    <row r="156" spans="1:3" ht="25.05" customHeight="1">
      <c r="A156" s="591"/>
      <c r="B156" s="988" t="s">
        <v>638</v>
      </c>
      <c r="C156" s="989"/>
    </row>
    <row r="157" spans="1:3" ht="24">
      <c r="A157" s="590"/>
      <c r="B157" s="585" t="s">
        <v>923</v>
      </c>
      <c r="C157" s="592" t="s">
        <v>935</v>
      </c>
    </row>
    <row r="158" spans="1:3">
      <c r="A158" s="591"/>
      <c r="B158" s="988" t="s">
        <v>639</v>
      </c>
      <c r="C158" s="989"/>
    </row>
    <row r="159" spans="1:3" ht="39" customHeight="1">
      <c r="A159" s="591"/>
      <c r="B159" s="990" t="s">
        <v>934</v>
      </c>
      <c r="C159" s="991"/>
    </row>
    <row r="160" spans="1:3">
      <c r="A160" s="591" t="s">
        <v>640</v>
      </c>
      <c r="B160" s="611" t="s">
        <v>549</v>
      </c>
      <c r="C160" s="603" t="s">
        <v>641</v>
      </c>
    </row>
    <row r="161" spans="1:3">
      <c r="A161" s="591" t="s">
        <v>369</v>
      </c>
      <c r="B161" s="608" t="s">
        <v>550</v>
      </c>
      <c r="C161" s="610" t="s">
        <v>933</v>
      </c>
    </row>
    <row r="162" spans="1:3" ht="24">
      <c r="A162" s="591" t="s">
        <v>376</v>
      </c>
      <c r="B162" s="603" t="s">
        <v>551</v>
      </c>
      <c r="C162" s="610" t="s">
        <v>642</v>
      </c>
    </row>
    <row r="163" spans="1:3">
      <c r="A163" s="591" t="s">
        <v>643</v>
      </c>
      <c r="B163" s="608" t="s">
        <v>552</v>
      </c>
      <c r="C163" s="609" t="s">
        <v>644</v>
      </c>
    </row>
    <row r="164" spans="1:3" ht="24">
      <c r="A164" s="591" t="s">
        <v>645</v>
      </c>
      <c r="B164" s="608" t="s">
        <v>884</v>
      </c>
      <c r="C164" s="602" t="s">
        <v>932</v>
      </c>
    </row>
    <row r="165" spans="1:3" ht="24">
      <c r="A165" s="591" t="s">
        <v>377</v>
      </c>
      <c r="B165" s="608" t="s">
        <v>553</v>
      </c>
      <c r="C165" s="602" t="s">
        <v>647</v>
      </c>
    </row>
    <row r="166" spans="1:3" ht="24">
      <c r="A166" s="591" t="s">
        <v>646</v>
      </c>
      <c r="B166" s="606" t="s">
        <v>556</v>
      </c>
      <c r="C166" s="607" t="s">
        <v>654</v>
      </c>
    </row>
    <row r="167" spans="1:3" ht="24">
      <c r="A167" s="591" t="s">
        <v>648</v>
      </c>
      <c r="B167" s="606" t="s">
        <v>554</v>
      </c>
      <c r="C167" s="602" t="s">
        <v>650</v>
      </c>
    </row>
    <row r="168" spans="1:3" ht="26.55" customHeight="1">
      <c r="A168" s="591" t="s">
        <v>649</v>
      </c>
      <c r="B168" s="606" t="s">
        <v>555</v>
      </c>
      <c r="C168" s="607" t="s">
        <v>652</v>
      </c>
    </row>
    <row r="169" spans="1:3">
      <c r="A169" s="591" t="s">
        <v>651</v>
      </c>
      <c r="B169" s="586" t="s">
        <v>557</v>
      </c>
      <c r="C169" s="607" t="s">
        <v>656</v>
      </c>
    </row>
    <row r="170" spans="1:3" ht="24">
      <c r="A170" s="591" t="s">
        <v>653</v>
      </c>
      <c r="B170" s="606" t="s">
        <v>558</v>
      </c>
      <c r="C170" s="605" t="s">
        <v>657</v>
      </c>
    </row>
    <row r="171" spans="1:3">
      <c r="A171" s="591" t="s">
        <v>655</v>
      </c>
      <c r="B171" s="604" t="s">
        <v>559</v>
      </c>
      <c r="C171" s="603" t="s">
        <v>658</v>
      </c>
    </row>
    <row r="172" spans="1:3" ht="24">
      <c r="A172" s="591"/>
      <c r="B172" s="602" t="s">
        <v>931</v>
      </c>
      <c r="C172" s="586" t="s">
        <v>659</v>
      </c>
    </row>
    <row r="173" spans="1:3" ht="24">
      <c r="A173" s="591"/>
      <c r="B173" s="602" t="s">
        <v>930</v>
      </c>
      <c r="C173" s="586" t="s">
        <v>660</v>
      </c>
    </row>
    <row r="174" spans="1:3" ht="24">
      <c r="A174" s="591"/>
      <c r="B174" s="602" t="s">
        <v>929</v>
      </c>
      <c r="C174" s="586" t="s">
        <v>661</v>
      </c>
    </row>
    <row r="175" spans="1:3">
      <c r="A175" s="591"/>
      <c r="B175" s="988" t="s">
        <v>662</v>
      </c>
      <c r="C175" s="989"/>
    </row>
    <row r="176" spans="1:3">
      <c r="A176" s="591"/>
      <c r="B176" s="990" t="s">
        <v>928</v>
      </c>
      <c r="C176" s="991"/>
    </row>
    <row r="177" spans="1:3">
      <c r="A177" s="590">
        <v>1</v>
      </c>
      <c r="B177" s="586" t="s">
        <v>563</v>
      </c>
      <c r="C177" s="586" t="s">
        <v>563</v>
      </c>
    </row>
    <row r="178" spans="1:3" ht="24">
      <c r="A178" s="590">
        <v>2</v>
      </c>
      <c r="B178" s="586" t="s">
        <v>663</v>
      </c>
      <c r="C178" s="586" t="s">
        <v>664</v>
      </c>
    </row>
    <row r="179" spans="1:3">
      <c r="A179" s="590">
        <v>3</v>
      </c>
      <c r="B179" s="586" t="s">
        <v>565</v>
      </c>
      <c r="C179" s="586" t="s">
        <v>665</v>
      </c>
    </row>
    <row r="180" spans="1:3" ht="24">
      <c r="A180" s="590">
        <v>4</v>
      </c>
      <c r="B180" s="586" t="s">
        <v>566</v>
      </c>
      <c r="C180" s="586" t="s">
        <v>666</v>
      </c>
    </row>
    <row r="181" spans="1:3" ht="24">
      <c r="A181" s="590">
        <v>5</v>
      </c>
      <c r="B181" s="586" t="s">
        <v>567</v>
      </c>
      <c r="C181" s="586" t="s">
        <v>688</v>
      </c>
    </row>
    <row r="182" spans="1:3" ht="48">
      <c r="A182" s="590">
        <v>6</v>
      </c>
      <c r="B182" s="586" t="s">
        <v>568</v>
      </c>
      <c r="C182" s="586" t="s">
        <v>667</v>
      </c>
    </row>
    <row r="183" spans="1:3">
      <c r="A183" s="591"/>
      <c r="B183" s="988" t="s">
        <v>668</v>
      </c>
      <c r="C183" s="989"/>
    </row>
    <row r="184" spans="1:3">
      <c r="A184" s="591"/>
      <c r="B184" s="992" t="s">
        <v>927</v>
      </c>
      <c r="C184" s="993"/>
    </row>
    <row r="185" spans="1:3" ht="24">
      <c r="A185" s="591">
        <v>1.1000000000000001</v>
      </c>
      <c r="B185" s="601" t="s">
        <v>573</v>
      </c>
      <c r="C185" s="586" t="s">
        <v>669</v>
      </c>
    </row>
    <row r="186" spans="1:3" ht="49.95" customHeight="1">
      <c r="A186" s="591" t="s">
        <v>157</v>
      </c>
      <c r="B186" s="587" t="s">
        <v>574</v>
      </c>
      <c r="C186" s="586" t="s">
        <v>670</v>
      </c>
    </row>
    <row r="187" spans="1:3">
      <c r="A187" s="591" t="s">
        <v>575</v>
      </c>
      <c r="B187" s="600" t="s">
        <v>576</v>
      </c>
      <c r="C187" s="994" t="s">
        <v>926</v>
      </c>
    </row>
    <row r="188" spans="1:3">
      <c r="A188" s="591" t="s">
        <v>577</v>
      </c>
      <c r="B188" s="600" t="s">
        <v>578</v>
      </c>
      <c r="C188" s="994"/>
    </row>
    <row r="189" spans="1:3">
      <c r="A189" s="591" t="s">
        <v>579</v>
      </c>
      <c r="B189" s="600" t="s">
        <v>580</v>
      </c>
      <c r="C189" s="994"/>
    </row>
    <row r="190" spans="1:3">
      <c r="A190" s="591" t="s">
        <v>581</v>
      </c>
      <c r="B190" s="600" t="s">
        <v>582</v>
      </c>
      <c r="C190" s="994"/>
    </row>
    <row r="191" spans="1:3">
      <c r="A191" s="591">
        <v>1.2</v>
      </c>
      <c r="B191" s="599" t="s">
        <v>898</v>
      </c>
      <c r="C191" s="585" t="s">
        <v>925</v>
      </c>
    </row>
    <row r="192" spans="1:3" ht="24">
      <c r="A192" s="591" t="s">
        <v>584</v>
      </c>
      <c r="B192" s="594" t="s">
        <v>585</v>
      </c>
      <c r="C192" s="597" t="s">
        <v>671</v>
      </c>
    </row>
    <row r="193" spans="1:4" ht="24">
      <c r="A193" s="591" t="s">
        <v>586</v>
      </c>
      <c r="B193" s="598" t="s">
        <v>587</v>
      </c>
      <c r="C193" s="597" t="s">
        <v>672</v>
      </c>
    </row>
    <row r="194" spans="1:4" ht="25.95" customHeight="1">
      <c r="A194" s="591" t="s">
        <v>588</v>
      </c>
      <c r="B194" s="596" t="s">
        <v>589</v>
      </c>
      <c r="C194" s="585" t="s">
        <v>673</v>
      </c>
    </row>
    <row r="195" spans="1:4" ht="24">
      <c r="A195" s="591" t="s">
        <v>590</v>
      </c>
      <c r="B195" s="595" t="s">
        <v>591</v>
      </c>
      <c r="C195" s="585" t="s">
        <v>674</v>
      </c>
      <c r="D195" s="402"/>
    </row>
    <row r="196" spans="1:4" ht="12.6">
      <c r="A196" s="591">
        <v>1.4</v>
      </c>
      <c r="B196" s="594" t="s">
        <v>681</v>
      </c>
      <c r="C196" s="593" t="s">
        <v>675</v>
      </c>
      <c r="D196" s="403"/>
    </row>
    <row r="197" spans="1:4" ht="12.6">
      <c r="A197" s="591">
        <v>1.5</v>
      </c>
      <c r="B197" s="594" t="s">
        <v>682</v>
      </c>
      <c r="C197" s="593" t="s">
        <v>675</v>
      </c>
      <c r="D197" s="404"/>
    </row>
    <row r="198" spans="1:4" ht="12.6">
      <c r="A198" s="591"/>
      <c r="B198" s="980" t="s">
        <v>676</v>
      </c>
      <c r="C198" s="980"/>
      <c r="D198" s="404"/>
    </row>
    <row r="199" spans="1:4" ht="12.6">
      <c r="A199" s="591"/>
      <c r="B199" s="992" t="s">
        <v>924</v>
      </c>
      <c r="C199" s="992"/>
      <c r="D199" s="404"/>
    </row>
    <row r="200" spans="1:4" ht="12.6">
      <c r="A200" s="590"/>
      <c r="B200" s="585" t="s">
        <v>923</v>
      </c>
      <c r="C200" s="592" t="s">
        <v>922</v>
      </c>
      <c r="D200" s="404"/>
    </row>
    <row r="201" spans="1:4" ht="12.6">
      <c r="A201" s="591"/>
      <c r="B201" s="980" t="s">
        <v>677</v>
      </c>
      <c r="C201" s="980"/>
      <c r="D201" s="405"/>
    </row>
    <row r="202" spans="1:4" ht="12.6">
      <c r="A202" s="590"/>
      <c r="B202" s="992" t="s">
        <v>921</v>
      </c>
      <c r="C202" s="992"/>
      <c r="D202" s="406"/>
    </row>
    <row r="203" spans="1:4" ht="12.6">
      <c r="B203" s="980" t="s">
        <v>715</v>
      </c>
      <c r="C203" s="980"/>
      <c r="D203" s="407"/>
    </row>
    <row r="204" spans="1:4" ht="24">
      <c r="A204" s="587">
        <v>1</v>
      </c>
      <c r="B204" s="585" t="s">
        <v>691</v>
      </c>
      <c r="C204" s="585" t="s">
        <v>703</v>
      </c>
      <c r="D204" s="406"/>
    </row>
    <row r="205" spans="1:4" ht="18" customHeight="1">
      <c r="A205" s="587">
        <v>2</v>
      </c>
      <c r="B205" s="585" t="s">
        <v>692</v>
      </c>
      <c r="C205" s="585" t="s">
        <v>704</v>
      </c>
      <c r="D205" s="407"/>
    </row>
    <row r="206" spans="1:4" ht="24">
      <c r="A206" s="587">
        <v>3</v>
      </c>
      <c r="B206" s="585" t="s">
        <v>693</v>
      </c>
      <c r="C206" s="585" t="s">
        <v>705</v>
      </c>
      <c r="D206" s="408"/>
    </row>
    <row r="207" spans="1:4" ht="12.6">
      <c r="A207" s="587">
        <v>4</v>
      </c>
      <c r="B207" s="585" t="s">
        <v>694</v>
      </c>
      <c r="C207" s="585" t="s">
        <v>706</v>
      </c>
      <c r="D207" s="408"/>
    </row>
    <row r="208" spans="1:4" ht="24">
      <c r="A208" s="587">
        <v>5</v>
      </c>
      <c r="B208" s="585" t="s">
        <v>695</v>
      </c>
      <c r="C208" s="585" t="s">
        <v>707</v>
      </c>
    </row>
    <row r="209" spans="1:3" ht="24.45" customHeight="1">
      <c r="A209" s="587">
        <v>6</v>
      </c>
      <c r="B209" s="585" t="s">
        <v>696</v>
      </c>
      <c r="C209" s="585" t="s">
        <v>708</v>
      </c>
    </row>
    <row r="210" spans="1:3" ht="24">
      <c r="A210" s="587">
        <v>7</v>
      </c>
      <c r="B210" s="585" t="s">
        <v>697</v>
      </c>
      <c r="C210" s="585" t="s">
        <v>709</v>
      </c>
    </row>
    <row r="211" spans="1:3">
      <c r="A211" s="587">
        <v>7.1</v>
      </c>
      <c r="B211" s="589" t="s">
        <v>698</v>
      </c>
      <c r="C211" s="585" t="s">
        <v>710</v>
      </c>
    </row>
    <row r="212" spans="1:3">
      <c r="A212" s="587">
        <v>7.2</v>
      </c>
      <c r="B212" s="589" t="s">
        <v>699</v>
      </c>
      <c r="C212" s="585" t="s">
        <v>711</v>
      </c>
    </row>
    <row r="213" spans="1:3">
      <c r="A213" s="587">
        <v>7.3</v>
      </c>
      <c r="B213" s="588" t="s">
        <v>700</v>
      </c>
      <c r="C213" s="585" t="s">
        <v>712</v>
      </c>
    </row>
    <row r="214" spans="1:3" ht="39.450000000000003" customHeight="1">
      <c r="A214" s="587">
        <v>8</v>
      </c>
      <c r="B214" s="585" t="s">
        <v>701</v>
      </c>
      <c r="C214" s="585" t="s">
        <v>713</v>
      </c>
    </row>
    <row r="215" spans="1:3">
      <c r="A215" s="587">
        <v>9</v>
      </c>
      <c r="B215" s="585" t="s">
        <v>702</v>
      </c>
      <c r="C215" s="585" t="s">
        <v>714</v>
      </c>
    </row>
    <row r="216" spans="1:3">
      <c r="A216" s="625">
        <v>10.1</v>
      </c>
      <c r="B216" s="626" t="s">
        <v>724</v>
      </c>
      <c r="C216" s="618" t="s">
        <v>725</v>
      </c>
    </row>
    <row r="217" spans="1:3">
      <c r="A217" s="995"/>
      <c r="B217" s="627" t="s">
        <v>912</v>
      </c>
      <c r="C217" s="585" t="s">
        <v>920</v>
      </c>
    </row>
    <row r="218" spans="1:3">
      <c r="A218" s="995"/>
      <c r="B218" s="586" t="s">
        <v>572</v>
      </c>
      <c r="C218" s="585" t="s">
        <v>919</v>
      </c>
    </row>
    <row r="219" spans="1:3">
      <c r="A219" s="995"/>
      <c r="B219" s="586" t="s">
        <v>911</v>
      </c>
      <c r="C219" s="585" t="s">
        <v>918</v>
      </c>
    </row>
    <row r="220" spans="1:3">
      <c r="A220" s="995"/>
      <c r="B220" s="586" t="s">
        <v>716</v>
      </c>
      <c r="C220" s="585" t="s">
        <v>917</v>
      </c>
    </row>
    <row r="221" spans="1:3" ht="24">
      <c r="A221" s="995"/>
      <c r="B221" s="586" t="s">
        <v>721</v>
      </c>
      <c r="C221" s="586" t="s">
        <v>916</v>
      </c>
    </row>
    <row r="222" spans="1:3" ht="36">
      <c r="A222" s="995"/>
      <c r="B222" s="586" t="s">
        <v>720</v>
      </c>
      <c r="C222" s="585" t="s">
        <v>915</v>
      </c>
    </row>
    <row r="223" spans="1:3">
      <c r="A223" s="995"/>
      <c r="B223" s="586" t="s">
        <v>723</v>
      </c>
      <c r="C223" s="585" t="s">
        <v>914</v>
      </c>
    </row>
    <row r="224" spans="1:3" ht="24">
      <c r="A224" s="995"/>
      <c r="B224" s="586" t="s">
        <v>717</v>
      </c>
      <c r="C224" s="585" t="s">
        <v>913</v>
      </c>
    </row>
    <row r="225" spans="1:3" ht="12.6">
      <c r="A225" s="619"/>
      <c r="B225" s="620"/>
      <c r="C225" s="621"/>
    </row>
    <row r="226" spans="1:3" ht="12.6">
      <c r="A226" s="619"/>
      <c r="B226" s="621"/>
      <c r="C226" s="621"/>
    </row>
    <row r="227" spans="1:3" ht="12.6">
      <c r="A227" s="619"/>
      <c r="B227" s="621"/>
      <c r="C227" s="621"/>
    </row>
    <row r="228" spans="1:3" ht="12.6">
      <c r="A228" s="619"/>
      <c r="B228" s="622"/>
      <c r="C228" s="621"/>
    </row>
    <row r="229" spans="1:3">
      <c r="A229" s="987"/>
      <c r="B229" s="623"/>
      <c r="C229" s="621"/>
    </row>
    <row r="230" spans="1:3">
      <c r="A230" s="987"/>
      <c r="B230" s="623"/>
      <c r="C230" s="621"/>
    </row>
    <row r="231" spans="1:3">
      <c r="A231" s="987"/>
      <c r="B231" s="623"/>
      <c r="C231" s="621"/>
    </row>
    <row r="232" spans="1:3">
      <c r="A232" s="987"/>
      <c r="B232" s="623"/>
      <c r="C232" s="624"/>
    </row>
    <row r="233" spans="1:3" ht="40.5" customHeight="1">
      <c r="A233" s="987"/>
      <c r="B233" s="623"/>
      <c r="C233" s="621"/>
    </row>
    <row r="234" spans="1:3" ht="24" customHeight="1">
      <c r="A234" s="987"/>
      <c r="B234" s="623"/>
      <c r="C234" s="621"/>
    </row>
    <row r="235" spans="1:3">
      <c r="A235" s="987"/>
      <c r="B235" s="623"/>
      <c r="C235" s="621"/>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topLeftCell="A28" zoomScale="80" zoomScaleNormal="80" workbookViewId="0">
      <selection activeCell="C44" sqref="C44"/>
    </sheetView>
  </sheetViews>
  <sheetFormatPr defaultRowHeight="14.4"/>
  <cols>
    <col min="2" max="2" width="66.6640625" customWidth="1"/>
    <col min="3" max="8" width="17.77734375" customWidth="1"/>
  </cols>
  <sheetData>
    <row r="1" spans="1:8">
      <c r="A1" s="13" t="s">
        <v>108</v>
      </c>
      <c r="B1" s="310" t="str">
        <f>Info!C2</f>
        <v>კრედო</v>
      </c>
      <c r="C1" s="12"/>
      <c r="D1" s="1"/>
      <c r="E1" s="1"/>
      <c r="F1" s="1"/>
      <c r="G1" s="1"/>
    </row>
    <row r="2" spans="1:8">
      <c r="A2" s="13" t="s">
        <v>109</v>
      </c>
      <c r="B2" s="346">
        <f>'1. key ratios'!B2</f>
        <v>45291</v>
      </c>
      <c r="C2" s="12"/>
      <c r="D2" s="1"/>
      <c r="E2" s="1"/>
      <c r="F2" s="1"/>
      <c r="G2" s="1"/>
    </row>
    <row r="3" spans="1:8">
      <c r="A3" s="13"/>
      <c r="B3" s="12"/>
      <c r="C3" s="12"/>
      <c r="D3" s="1"/>
      <c r="E3" s="1"/>
      <c r="F3" s="1"/>
      <c r="G3" s="1"/>
    </row>
    <row r="4" spans="1:8">
      <c r="A4" s="841" t="s">
        <v>25</v>
      </c>
      <c r="B4" s="839" t="s">
        <v>166</v>
      </c>
      <c r="C4" s="834" t="s">
        <v>114</v>
      </c>
      <c r="D4" s="834"/>
      <c r="E4" s="834"/>
      <c r="F4" s="834" t="s">
        <v>115</v>
      </c>
      <c r="G4" s="834"/>
      <c r="H4" s="835"/>
    </row>
    <row r="5" spans="1:8" ht="15.45" customHeight="1">
      <c r="A5" s="842"/>
      <c r="B5" s="840"/>
      <c r="C5" s="438" t="s">
        <v>26</v>
      </c>
      <c r="D5" s="438" t="s">
        <v>88</v>
      </c>
      <c r="E5" s="438" t="s">
        <v>66</v>
      </c>
      <c r="F5" s="438" t="s">
        <v>26</v>
      </c>
      <c r="G5" s="438" t="s">
        <v>88</v>
      </c>
      <c r="H5" s="438" t="s">
        <v>66</v>
      </c>
    </row>
    <row r="6" spans="1:8">
      <c r="A6" s="467">
        <v>1</v>
      </c>
      <c r="B6" s="439" t="s">
        <v>779</v>
      </c>
      <c r="C6" s="704">
        <f>SUM(C7:C12)</f>
        <v>432410409</v>
      </c>
      <c r="D6" s="704">
        <f>SUM(D7:D12)</f>
        <v>19722858.300004184</v>
      </c>
      <c r="E6" s="705">
        <f>C6+D6</f>
        <v>452133267.30000418</v>
      </c>
      <c r="F6" s="704">
        <f>SUM(F7:F12)</f>
        <v>404879681</v>
      </c>
      <c r="G6" s="704">
        <f>SUM(G7:G12)</f>
        <v>11517559.630000055</v>
      </c>
      <c r="H6" s="705">
        <f>F6+G6</f>
        <v>416397240.63000005</v>
      </c>
    </row>
    <row r="7" spans="1:8">
      <c r="A7" s="467">
        <v>1.1000000000000001</v>
      </c>
      <c r="B7" s="440" t="s">
        <v>733</v>
      </c>
      <c r="C7" s="704"/>
      <c r="D7" s="704"/>
      <c r="E7" s="705">
        <f t="shared" ref="E7:E45" si="0">C7+D7</f>
        <v>0</v>
      </c>
      <c r="F7" s="704"/>
      <c r="G7" s="704"/>
      <c r="H7" s="705">
        <f t="shared" ref="H7:H45" si="1">F7+G7</f>
        <v>0</v>
      </c>
    </row>
    <row r="8" spans="1:8" ht="20.399999999999999">
      <c r="A8" s="467">
        <v>1.2</v>
      </c>
      <c r="B8" s="440" t="s">
        <v>780</v>
      </c>
      <c r="C8" s="704"/>
      <c r="D8" s="704"/>
      <c r="E8" s="705">
        <f t="shared" si="0"/>
        <v>0</v>
      </c>
      <c r="F8" s="704"/>
      <c r="G8" s="704"/>
      <c r="H8" s="705">
        <f t="shared" si="1"/>
        <v>0</v>
      </c>
    </row>
    <row r="9" spans="1:8" ht="21.45" customHeight="1">
      <c r="A9" s="467">
        <v>1.3</v>
      </c>
      <c r="B9" s="430" t="s">
        <v>781</v>
      </c>
      <c r="C9" s="704"/>
      <c r="D9" s="704"/>
      <c r="E9" s="705">
        <f t="shared" si="0"/>
        <v>0</v>
      </c>
      <c r="F9" s="704"/>
      <c r="G9" s="704"/>
      <c r="H9" s="705">
        <f t="shared" si="1"/>
        <v>0</v>
      </c>
    </row>
    <row r="10" spans="1:8" ht="20.399999999999999">
      <c r="A10" s="467">
        <v>1.4</v>
      </c>
      <c r="B10" s="430" t="s">
        <v>737</v>
      </c>
      <c r="C10" s="704"/>
      <c r="D10" s="704"/>
      <c r="E10" s="705">
        <f t="shared" si="0"/>
        <v>0</v>
      </c>
      <c r="F10" s="704"/>
      <c r="G10" s="704"/>
      <c r="H10" s="705">
        <f t="shared" si="1"/>
        <v>0</v>
      </c>
    </row>
    <row r="11" spans="1:8">
      <c r="A11" s="467">
        <v>1.5</v>
      </c>
      <c r="B11" s="430" t="s">
        <v>740</v>
      </c>
      <c r="C11" s="704">
        <v>432410409</v>
      </c>
      <c r="D11" s="704">
        <v>19722858.300004184</v>
      </c>
      <c r="E11" s="705">
        <f t="shared" si="0"/>
        <v>452133267.30000418</v>
      </c>
      <c r="F11" s="704">
        <v>404879681</v>
      </c>
      <c r="G11" s="704">
        <v>11517559.630000055</v>
      </c>
      <c r="H11" s="705">
        <f t="shared" si="1"/>
        <v>416397240.63000005</v>
      </c>
    </row>
    <row r="12" spans="1:8">
      <c r="A12" s="467">
        <v>1.6</v>
      </c>
      <c r="B12" s="431" t="s">
        <v>99</v>
      </c>
      <c r="C12" s="704"/>
      <c r="D12" s="704"/>
      <c r="E12" s="705">
        <f t="shared" si="0"/>
        <v>0</v>
      </c>
      <c r="F12" s="704"/>
      <c r="G12" s="704"/>
      <c r="H12" s="705">
        <f t="shared" si="1"/>
        <v>0</v>
      </c>
    </row>
    <row r="13" spans="1:8">
      <c r="A13" s="467">
        <v>2</v>
      </c>
      <c r="B13" s="441" t="s">
        <v>782</v>
      </c>
      <c r="C13" s="704">
        <f>SUM(C14:C17)</f>
        <v>-182699715</v>
      </c>
      <c r="D13" s="704">
        <f>SUM(D14:D17)</f>
        <v>-18541862.120000005</v>
      </c>
      <c r="E13" s="705">
        <f t="shared" si="0"/>
        <v>-201241577.12</v>
      </c>
      <c r="F13" s="704">
        <f>SUM(F14:F17)</f>
        <v>-174870588</v>
      </c>
      <c r="G13" s="704">
        <f>SUM(G14:G17)</f>
        <v>-10878839.090000033</v>
      </c>
      <c r="H13" s="705">
        <f t="shared" si="1"/>
        <v>-185749427.09000003</v>
      </c>
    </row>
    <row r="14" spans="1:8">
      <c r="A14" s="467">
        <v>2.1</v>
      </c>
      <c r="B14" s="430" t="s">
        <v>783</v>
      </c>
      <c r="C14" s="704"/>
      <c r="D14" s="704"/>
      <c r="E14" s="705">
        <f t="shared" si="0"/>
        <v>0</v>
      </c>
      <c r="F14" s="704"/>
      <c r="G14" s="704"/>
      <c r="H14" s="705">
        <f t="shared" si="1"/>
        <v>0</v>
      </c>
    </row>
    <row r="15" spans="1:8" ht="24.45" customHeight="1">
      <c r="A15" s="467">
        <v>2.2000000000000002</v>
      </c>
      <c r="B15" s="430" t="s">
        <v>784</v>
      </c>
      <c r="C15" s="704"/>
      <c r="D15" s="704"/>
      <c r="E15" s="705">
        <f t="shared" si="0"/>
        <v>0</v>
      </c>
      <c r="F15" s="704"/>
      <c r="G15" s="704"/>
      <c r="H15" s="705">
        <f t="shared" si="1"/>
        <v>0</v>
      </c>
    </row>
    <row r="16" spans="1:8" ht="20.55" customHeight="1">
      <c r="A16" s="467">
        <v>2.2999999999999998</v>
      </c>
      <c r="B16" s="430" t="s">
        <v>785</v>
      </c>
      <c r="C16" s="704">
        <v>-182699715</v>
      </c>
      <c r="D16" s="704">
        <v>-18541862.120000005</v>
      </c>
      <c r="E16" s="705">
        <f t="shared" si="0"/>
        <v>-201241577.12</v>
      </c>
      <c r="F16" s="704">
        <v>-174870588</v>
      </c>
      <c r="G16" s="704">
        <v>-10878839.090000033</v>
      </c>
      <c r="H16" s="705">
        <f t="shared" si="1"/>
        <v>-185749427.09000003</v>
      </c>
    </row>
    <row r="17" spans="1:8">
      <c r="A17" s="467">
        <v>2.4</v>
      </c>
      <c r="B17" s="430" t="s">
        <v>786</v>
      </c>
      <c r="C17" s="704"/>
      <c r="D17" s="704"/>
      <c r="E17" s="705">
        <f t="shared" si="0"/>
        <v>0</v>
      </c>
      <c r="F17" s="704"/>
      <c r="G17" s="704"/>
      <c r="H17" s="705">
        <f t="shared" si="1"/>
        <v>0</v>
      </c>
    </row>
    <row r="18" spans="1:8">
      <c r="A18" s="467">
        <v>3</v>
      </c>
      <c r="B18" s="441" t="s">
        <v>787</v>
      </c>
      <c r="C18" s="704"/>
      <c r="D18" s="704"/>
      <c r="E18" s="705">
        <f t="shared" si="0"/>
        <v>0</v>
      </c>
      <c r="F18" s="704"/>
      <c r="G18" s="704"/>
      <c r="H18" s="705">
        <f t="shared" si="1"/>
        <v>0</v>
      </c>
    </row>
    <row r="19" spans="1:8">
      <c r="A19" s="467">
        <v>4</v>
      </c>
      <c r="B19" s="441" t="s">
        <v>788</v>
      </c>
      <c r="C19" s="704">
        <v>46506283.280000024</v>
      </c>
      <c r="D19" s="704">
        <v>6485059.8599999994</v>
      </c>
      <c r="E19" s="705">
        <f t="shared" si="0"/>
        <v>52991343.140000023</v>
      </c>
      <c r="F19" s="704">
        <v>44349070.469999999</v>
      </c>
      <c r="G19" s="704">
        <v>3188178.6799999997</v>
      </c>
      <c r="H19" s="705">
        <f t="shared" si="1"/>
        <v>47537249.149999999</v>
      </c>
    </row>
    <row r="20" spans="1:8">
      <c r="A20" s="467">
        <v>5</v>
      </c>
      <c r="B20" s="441" t="s">
        <v>789</v>
      </c>
      <c r="C20" s="704">
        <v>-15754210</v>
      </c>
      <c r="D20" s="704">
        <v>-7460021.6999999993</v>
      </c>
      <c r="E20" s="705">
        <f t="shared" si="0"/>
        <v>-23214231.699999999</v>
      </c>
      <c r="F20" s="704">
        <v>-13527124.18</v>
      </c>
      <c r="G20" s="704">
        <v>-4155754.2399999984</v>
      </c>
      <c r="H20" s="705">
        <f t="shared" si="1"/>
        <v>-17682878.419999998</v>
      </c>
    </row>
    <row r="21" spans="1:8" ht="38.549999999999997" customHeight="1">
      <c r="A21" s="467">
        <v>6</v>
      </c>
      <c r="B21" s="441" t="s">
        <v>790</v>
      </c>
      <c r="C21" s="704"/>
      <c r="D21" s="704"/>
      <c r="E21" s="705">
        <f t="shared" si="0"/>
        <v>0</v>
      </c>
      <c r="F21" s="704"/>
      <c r="G21" s="704"/>
      <c r="H21" s="705">
        <f t="shared" si="1"/>
        <v>0</v>
      </c>
    </row>
    <row r="22" spans="1:8" ht="27.45" customHeight="1">
      <c r="A22" s="467">
        <v>7</v>
      </c>
      <c r="B22" s="441" t="s">
        <v>791</v>
      </c>
      <c r="C22" s="704"/>
      <c r="D22" s="704"/>
      <c r="E22" s="705">
        <f t="shared" si="0"/>
        <v>0</v>
      </c>
      <c r="F22" s="704"/>
      <c r="G22" s="704"/>
      <c r="H22" s="705">
        <f t="shared" si="1"/>
        <v>0</v>
      </c>
    </row>
    <row r="23" spans="1:8" ht="37.049999999999997" customHeight="1">
      <c r="A23" s="467">
        <v>8</v>
      </c>
      <c r="B23" s="442" t="s">
        <v>792</v>
      </c>
      <c r="C23" s="704"/>
      <c r="D23" s="704"/>
      <c r="E23" s="705">
        <f t="shared" si="0"/>
        <v>0</v>
      </c>
      <c r="F23" s="704"/>
      <c r="G23" s="704"/>
      <c r="H23" s="705">
        <f t="shared" si="1"/>
        <v>0</v>
      </c>
    </row>
    <row r="24" spans="1:8" ht="34.5" customHeight="1">
      <c r="A24" s="467">
        <v>9</v>
      </c>
      <c r="B24" s="442" t="s">
        <v>793</v>
      </c>
      <c r="C24" s="704">
        <v>-11916617.960000014</v>
      </c>
      <c r="D24" s="704"/>
      <c r="E24" s="705">
        <f t="shared" si="0"/>
        <v>-11916617.960000014</v>
      </c>
      <c r="F24" s="704">
        <v>-17373881.370000001</v>
      </c>
      <c r="G24" s="704"/>
      <c r="H24" s="705">
        <f t="shared" si="1"/>
        <v>-17373881.370000001</v>
      </c>
    </row>
    <row r="25" spans="1:8">
      <c r="A25" s="467">
        <v>10</v>
      </c>
      <c r="B25" s="441" t="s">
        <v>794</v>
      </c>
      <c r="C25" s="704">
        <v>-2938306.110000086</v>
      </c>
      <c r="D25" s="704"/>
      <c r="E25" s="705">
        <f t="shared" si="0"/>
        <v>-2938306.110000086</v>
      </c>
      <c r="F25" s="704">
        <v>8840660.2699998654</v>
      </c>
      <c r="G25" s="704"/>
      <c r="H25" s="705">
        <f t="shared" si="1"/>
        <v>8840660.2699998654</v>
      </c>
    </row>
    <row r="26" spans="1:8" ht="27" customHeight="1">
      <c r="A26" s="467">
        <v>11</v>
      </c>
      <c r="B26" s="443" t="s">
        <v>795</v>
      </c>
      <c r="C26" s="704">
        <v>198023.87999999995</v>
      </c>
      <c r="D26" s="704"/>
      <c r="E26" s="705">
        <f t="shared" si="0"/>
        <v>198023.87999999995</v>
      </c>
      <c r="F26" s="704"/>
      <c r="G26" s="704"/>
      <c r="H26" s="705">
        <f t="shared" si="1"/>
        <v>0</v>
      </c>
    </row>
    <row r="27" spans="1:8">
      <c r="A27" s="467">
        <v>12</v>
      </c>
      <c r="B27" s="441" t="s">
        <v>796</v>
      </c>
      <c r="C27" s="704">
        <v>6209688.2800000003</v>
      </c>
      <c r="D27" s="704"/>
      <c r="E27" s="705">
        <f t="shared" si="0"/>
        <v>6209688.2800000003</v>
      </c>
      <c r="F27" s="704">
        <v>5907795.3099999987</v>
      </c>
      <c r="G27" s="704"/>
      <c r="H27" s="705">
        <f t="shared" si="1"/>
        <v>5907795.3099999987</v>
      </c>
    </row>
    <row r="28" spans="1:8">
      <c r="A28" s="467">
        <v>13</v>
      </c>
      <c r="B28" s="444" t="s">
        <v>797</v>
      </c>
      <c r="C28" s="704">
        <v>-20597977.290000003</v>
      </c>
      <c r="D28" s="704"/>
      <c r="E28" s="705">
        <f t="shared" si="0"/>
        <v>-20597977.290000003</v>
      </c>
      <c r="F28" s="704">
        <v>-21655802</v>
      </c>
      <c r="G28" s="704"/>
      <c r="H28" s="705">
        <f t="shared" si="1"/>
        <v>-21655802</v>
      </c>
    </row>
    <row r="29" spans="1:8">
      <c r="A29" s="467">
        <v>14</v>
      </c>
      <c r="B29" s="445" t="s">
        <v>798</v>
      </c>
      <c r="C29" s="704">
        <f>SUM(C30:C31)</f>
        <v>-132512487.21999998</v>
      </c>
      <c r="D29" s="704">
        <f>SUM(D30:D31)</f>
        <v>0</v>
      </c>
      <c r="E29" s="705">
        <f t="shared" si="0"/>
        <v>-132512487.21999998</v>
      </c>
      <c r="F29" s="704">
        <f>SUM(F30:F31)</f>
        <v>-116841032.68000002</v>
      </c>
      <c r="G29" s="704">
        <f>SUM(G30:G31)</f>
        <v>0</v>
      </c>
      <c r="H29" s="705">
        <f t="shared" si="1"/>
        <v>-116841032.68000002</v>
      </c>
    </row>
    <row r="30" spans="1:8">
      <c r="A30" s="467">
        <v>14.1</v>
      </c>
      <c r="B30" s="422" t="s">
        <v>799</v>
      </c>
      <c r="C30" s="704">
        <v>-122876917.21999998</v>
      </c>
      <c r="D30" s="704"/>
      <c r="E30" s="705">
        <f t="shared" si="0"/>
        <v>-122876917.21999998</v>
      </c>
      <c r="F30" s="704">
        <v>-109558255.48000002</v>
      </c>
      <c r="G30" s="704"/>
      <c r="H30" s="705">
        <f t="shared" si="1"/>
        <v>-109558255.48000002</v>
      </c>
    </row>
    <row r="31" spans="1:8">
      <c r="A31" s="467">
        <v>14.2</v>
      </c>
      <c r="B31" s="422" t="s">
        <v>800</v>
      </c>
      <c r="C31" s="704">
        <v>-9635570</v>
      </c>
      <c r="D31" s="704"/>
      <c r="E31" s="705">
        <f t="shared" si="0"/>
        <v>-9635570</v>
      </c>
      <c r="F31" s="704">
        <v>-7282777.1999999983</v>
      </c>
      <c r="G31" s="704"/>
      <c r="H31" s="705">
        <f t="shared" si="1"/>
        <v>-7282777.1999999983</v>
      </c>
    </row>
    <row r="32" spans="1:8">
      <c r="A32" s="467">
        <v>15</v>
      </c>
      <c r="B32" s="446" t="s">
        <v>801</v>
      </c>
      <c r="C32" s="704">
        <v>-18613882.470000003</v>
      </c>
      <c r="D32" s="704"/>
      <c r="E32" s="705">
        <f t="shared" si="0"/>
        <v>-18613882.470000003</v>
      </c>
      <c r="F32" s="704">
        <v>-18050115.499999996</v>
      </c>
      <c r="G32" s="704"/>
      <c r="H32" s="705">
        <f t="shared" si="1"/>
        <v>-18050115.499999996</v>
      </c>
    </row>
    <row r="33" spans="1:8" ht="22.5" customHeight="1">
      <c r="A33" s="467">
        <v>16</v>
      </c>
      <c r="B33" s="418" t="s">
        <v>802</v>
      </c>
      <c r="C33" s="704"/>
      <c r="D33" s="704"/>
      <c r="E33" s="705">
        <f t="shared" si="0"/>
        <v>0</v>
      </c>
      <c r="F33" s="704"/>
      <c r="G33" s="704"/>
      <c r="H33" s="705">
        <f t="shared" si="1"/>
        <v>0</v>
      </c>
    </row>
    <row r="34" spans="1:8">
      <c r="A34" s="467">
        <v>17</v>
      </c>
      <c r="B34" s="441" t="s">
        <v>803</v>
      </c>
      <c r="C34" s="704">
        <f>SUM(C35:C36)</f>
        <v>0</v>
      </c>
      <c r="D34" s="704">
        <f>SUM(D35:D36)</f>
        <v>0</v>
      </c>
      <c r="E34" s="705">
        <f t="shared" si="0"/>
        <v>0</v>
      </c>
      <c r="F34" s="704">
        <f>SUM(F35:F36)</f>
        <v>0</v>
      </c>
      <c r="G34" s="704">
        <f>SUM(G35:G36)</f>
        <v>0</v>
      </c>
      <c r="H34" s="705">
        <f t="shared" si="1"/>
        <v>0</v>
      </c>
    </row>
    <row r="35" spans="1:8">
      <c r="A35" s="467">
        <v>17.100000000000001</v>
      </c>
      <c r="B35" s="447" t="s">
        <v>804</v>
      </c>
      <c r="C35" s="704"/>
      <c r="D35" s="704"/>
      <c r="E35" s="705">
        <f t="shared" si="0"/>
        <v>0</v>
      </c>
      <c r="F35" s="704"/>
      <c r="G35" s="704"/>
      <c r="H35" s="705">
        <f t="shared" si="1"/>
        <v>0</v>
      </c>
    </row>
    <row r="36" spans="1:8">
      <c r="A36" s="467">
        <v>17.2</v>
      </c>
      <c r="B36" s="422" t="s">
        <v>805</v>
      </c>
      <c r="C36" s="704"/>
      <c r="D36" s="704"/>
      <c r="E36" s="705">
        <f t="shared" si="0"/>
        <v>0</v>
      </c>
      <c r="F36" s="704"/>
      <c r="G36" s="704"/>
      <c r="H36" s="705">
        <f t="shared" si="1"/>
        <v>0</v>
      </c>
    </row>
    <row r="37" spans="1:8" ht="41.55" customHeight="1">
      <c r="A37" s="467">
        <v>18</v>
      </c>
      <c r="B37" s="448" t="s">
        <v>806</v>
      </c>
      <c r="C37" s="704">
        <f>SUM(C38:C39)</f>
        <v>-53605390</v>
      </c>
      <c r="D37" s="704">
        <f>SUM(D38:D39)</f>
        <v>562555</v>
      </c>
      <c r="E37" s="705">
        <f t="shared" si="0"/>
        <v>-53042835</v>
      </c>
      <c r="F37" s="704">
        <f>SUM(F38:F39)</f>
        <v>-48897727.270000003</v>
      </c>
      <c r="G37" s="704">
        <f>SUM(G38:G39)</f>
        <v>3959106.4499999993</v>
      </c>
      <c r="H37" s="705">
        <f t="shared" si="1"/>
        <v>-44938620.820000008</v>
      </c>
    </row>
    <row r="38" spans="1:8" ht="20.399999999999999">
      <c r="A38" s="467">
        <v>18.100000000000001</v>
      </c>
      <c r="B38" s="430" t="s">
        <v>807</v>
      </c>
      <c r="C38" s="704"/>
      <c r="D38" s="704"/>
      <c r="E38" s="705">
        <f t="shared" si="0"/>
        <v>0</v>
      </c>
      <c r="F38" s="704"/>
      <c r="G38" s="704"/>
      <c r="H38" s="705">
        <f t="shared" si="1"/>
        <v>0</v>
      </c>
    </row>
    <row r="39" spans="1:8">
      <c r="A39" s="467">
        <v>18.2</v>
      </c>
      <c r="B39" s="430" t="s">
        <v>808</v>
      </c>
      <c r="C39" s="704">
        <v>-53605390</v>
      </c>
      <c r="D39" s="704">
        <v>562555</v>
      </c>
      <c r="E39" s="705">
        <f t="shared" si="0"/>
        <v>-53042835</v>
      </c>
      <c r="F39" s="704">
        <v>-48897727.270000003</v>
      </c>
      <c r="G39" s="704">
        <v>3959106.4499999993</v>
      </c>
      <c r="H39" s="705">
        <f t="shared" si="1"/>
        <v>-44938620.820000008</v>
      </c>
    </row>
    <row r="40" spans="1:8" ht="24.45" customHeight="1">
      <c r="A40" s="467">
        <v>19</v>
      </c>
      <c r="B40" s="448" t="s">
        <v>809</v>
      </c>
      <c r="C40" s="704"/>
      <c r="D40" s="704"/>
      <c r="E40" s="705">
        <f t="shared" si="0"/>
        <v>0</v>
      </c>
      <c r="F40" s="704"/>
      <c r="G40" s="704"/>
      <c r="H40" s="705">
        <f t="shared" si="1"/>
        <v>0</v>
      </c>
    </row>
    <row r="41" spans="1:8" ht="25.05" customHeight="1">
      <c r="A41" s="467">
        <v>20</v>
      </c>
      <c r="B41" s="448" t="s">
        <v>810</v>
      </c>
      <c r="C41" s="704">
        <v>-1364405.92</v>
      </c>
      <c r="D41" s="704"/>
      <c r="E41" s="705">
        <f t="shared" si="0"/>
        <v>-1364405.92</v>
      </c>
      <c r="F41" s="704">
        <v>-1496568.4300000002</v>
      </c>
      <c r="G41" s="704"/>
      <c r="H41" s="705">
        <f t="shared" si="1"/>
        <v>-1496568.4300000002</v>
      </c>
    </row>
    <row r="42" spans="1:8" ht="33" customHeight="1">
      <c r="A42" s="467">
        <v>21</v>
      </c>
      <c r="B42" s="449" t="s">
        <v>811</v>
      </c>
      <c r="C42" s="704"/>
      <c r="D42" s="704"/>
      <c r="E42" s="705">
        <f t="shared" si="0"/>
        <v>0</v>
      </c>
      <c r="F42" s="704"/>
      <c r="G42" s="704"/>
      <c r="H42" s="705">
        <f t="shared" si="1"/>
        <v>0</v>
      </c>
    </row>
    <row r="43" spans="1:8">
      <c r="A43" s="467">
        <v>22</v>
      </c>
      <c r="B43" s="450" t="s">
        <v>812</v>
      </c>
      <c r="C43" s="704">
        <f>SUM(C6,C13,C18,C19,C20,C21,C22,C23,C24,C25,C26,C27,C28,C29,C32,C33,C34,C37,C40,C41,C42)</f>
        <v>45321412.469999909</v>
      </c>
      <c r="D43" s="704">
        <f>SUM(D6,D13,D18,D19,D20,D21,D22,D23,D24,D25,D26,D27,D28,D29,D32,D33,D34,D37,D40,D41,D42)</f>
        <v>768589.34000417963</v>
      </c>
      <c r="E43" s="705">
        <f t="shared" si="0"/>
        <v>46090001.810004085</v>
      </c>
      <c r="F43" s="704">
        <f>SUM(F6,F13,F18,F19,F20,F21,F22,F23,F24,F25,F26,F27,F28,F29,F32,F33,F34,F37,F40,F41,F42)</f>
        <v>51264367.619999856</v>
      </c>
      <c r="G43" s="704">
        <f>SUM(G6,G13,G18,G19,G20,G21,G22,G23,G24,G25,G26,G27,G28,G29,G32,G33,G34,G37,G40,G41,G42)</f>
        <v>3630251.4300000221</v>
      </c>
      <c r="H43" s="705">
        <f t="shared" si="1"/>
        <v>54894619.049999878</v>
      </c>
    </row>
    <row r="44" spans="1:8">
      <c r="A44" s="467">
        <v>23</v>
      </c>
      <c r="B44" s="450" t="s">
        <v>813</v>
      </c>
      <c r="C44" s="704">
        <v>6904984.3399999999</v>
      </c>
      <c r="D44" s="704"/>
      <c r="E44" s="705">
        <f t="shared" si="0"/>
        <v>6904984.3399999999</v>
      </c>
      <c r="F44" s="704">
        <v>7378791.9800000004</v>
      </c>
      <c r="G44" s="704"/>
      <c r="H44" s="705">
        <f t="shared" si="1"/>
        <v>7378791.9800000004</v>
      </c>
    </row>
    <row r="45" spans="1:8">
      <c r="A45" s="467">
        <v>24</v>
      </c>
      <c r="B45" s="450" t="s">
        <v>814</v>
      </c>
      <c r="C45" s="704">
        <f>C43-C44</f>
        <v>38416428.129999906</v>
      </c>
      <c r="D45" s="704">
        <f>D43-D44</f>
        <v>768589.34000417963</v>
      </c>
      <c r="E45" s="705">
        <f t="shared" si="0"/>
        <v>39185017.470004082</v>
      </c>
      <c r="F45" s="704">
        <f>F43-F44</f>
        <v>43885575.639999852</v>
      </c>
      <c r="G45" s="704">
        <f>G43-G44</f>
        <v>3630251.4300000221</v>
      </c>
      <c r="H45" s="705">
        <f t="shared" si="1"/>
        <v>47515827.069999874</v>
      </c>
    </row>
    <row r="46" spans="1:8">
      <c r="E46" s="690"/>
    </row>
    <row r="47" spans="1:8">
      <c r="C47" s="707"/>
      <c r="D47" s="707"/>
      <c r="E47" s="707"/>
    </row>
  </sheetData>
  <mergeCells count="4">
    <mergeCell ref="B4:B5"/>
    <mergeCell ref="C4:E4"/>
    <mergeCell ref="F4:H4"/>
    <mergeCell ref="A4:A5"/>
  </mergeCells>
  <pageMargins left="0.7" right="0.7" top="0.75" bottom="0.75" header="0.3" footer="0.3"/>
  <ignoredErrors>
    <ignoredError sqref="C29 F29" formulaRange="1"/>
    <ignoredError sqref="E29 E34 E37 E43 E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19" zoomScale="80" zoomScaleNormal="80" workbookViewId="0">
      <selection activeCell="F28" sqref="F28"/>
    </sheetView>
  </sheetViews>
  <sheetFormatPr defaultRowHeight="14.4"/>
  <cols>
    <col min="1" max="1" width="8.77734375" style="464"/>
    <col min="2" max="2" width="87.6640625" bestFit="1" customWidth="1"/>
    <col min="3" max="3" width="14.44140625" bestFit="1" customWidth="1"/>
    <col min="4" max="5" width="12.77734375" customWidth="1"/>
    <col min="6" max="6" width="14.44140625" bestFit="1" customWidth="1"/>
    <col min="7" max="8" width="12.77734375" customWidth="1"/>
  </cols>
  <sheetData>
    <row r="1" spans="1:8">
      <c r="A1" s="13" t="s">
        <v>108</v>
      </c>
      <c r="B1" s="310" t="str">
        <f>Info!C2</f>
        <v>კრედო</v>
      </c>
      <c r="C1" s="12"/>
      <c r="D1" s="1"/>
      <c r="E1" s="1"/>
      <c r="F1" s="1"/>
      <c r="G1" s="1"/>
    </row>
    <row r="2" spans="1:8">
      <c r="A2" s="13" t="s">
        <v>109</v>
      </c>
      <c r="B2" s="346">
        <f>'1. key ratios'!B2</f>
        <v>45291</v>
      </c>
      <c r="C2" s="12"/>
      <c r="D2" s="1"/>
      <c r="E2" s="1"/>
      <c r="F2" s="1"/>
      <c r="G2" s="1"/>
    </row>
    <row r="3" spans="1:8">
      <c r="A3" s="13"/>
      <c r="B3" s="12"/>
      <c r="C3" s="12"/>
      <c r="D3" s="1"/>
      <c r="E3" s="1"/>
      <c r="F3" s="1"/>
      <c r="G3" s="1"/>
    </row>
    <row r="4" spans="1:8">
      <c r="A4" s="831" t="s">
        <v>25</v>
      </c>
      <c r="B4" s="843" t="s">
        <v>151</v>
      </c>
      <c r="C4" s="844" t="s">
        <v>114</v>
      </c>
      <c r="D4" s="844"/>
      <c r="E4" s="844"/>
      <c r="F4" s="844" t="s">
        <v>115</v>
      </c>
      <c r="G4" s="844"/>
      <c r="H4" s="845"/>
    </row>
    <row r="5" spans="1:8">
      <c r="A5" s="831"/>
      <c r="B5" s="843"/>
      <c r="C5" s="438" t="s">
        <v>26</v>
      </c>
      <c r="D5" s="438" t="s">
        <v>88</v>
      </c>
      <c r="E5" s="438" t="s">
        <v>66</v>
      </c>
      <c r="F5" s="438" t="s">
        <v>26</v>
      </c>
      <c r="G5" s="438" t="s">
        <v>88</v>
      </c>
      <c r="H5" s="451" t="s">
        <v>66</v>
      </c>
    </row>
    <row r="6" spans="1:8">
      <c r="A6" s="452">
        <v>1</v>
      </c>
      <c r="B6" s="453" t="s">
        <v>815</v>
      </c>
      <c r="C6" s="454"/>
      <c r="D6" s="454"/>
      <c r="E6" s="455">
        <f t="shared" ref="E6:E43" si="0">C6+D6</f>
        <v>0</v>
      </c>
      <c r="F6" s="454"/>
      <c r="G6" s="454"/>
      <c r="H6" s="456">
        <f t="shared" ref="H6:H43" si="1">F6+G6</f>
        <v>0</v>
      </c>
    </row>
    <row r="7" spans="1:8">
      <c r="A7" s="452">
        <v>2</v>
      </c>
      <c r="B7" s="457" t="s">
        <v>177</v>
      </c>
      <c r="C7" s="454"/>
      <c r="D7" s="454"/>
      <c r="E7" s="455">
        <f t="shared" si="0"/>
        <v>0</v>
      </c>
      <c r="F7" s="454"/>
      <c r="G7" s="454"/>
      <c r="H7" s="456">
        <f t="shared" si="1"/>
        <v>0</v>
      </c>
    </row>
    <row r="8" spans="1:8">
      <c r="A8" s="452">
        <v>3</v>
      </c>
      <c r="B8" s="457" t="s">
        <v>179</v>
      </c>
      <c r="C8" s="785">
        <f>C9+C10</f>
        <v>1205792479.78</v>
      </c>
      <c r="D8" s="785">
        <f>D9+D10</f>
        <v>0</v>
      </c>
      <c r="E8" s="455">
        <f t="shared" si="0"/>
        <v>1205792479.78</v>
      </c>
      <c r="F8" s="785">
        <f>F9+F10</f>
        <v>1078055209.1800001</v>
      </c>
      <c r="G8" s="785">
        <f>G9+G10</f>
        <v>0</v>
      </c>
      <c r="H8" s="456">
        <f t="shared" si="1"/>
        <v>1078055209.1800001</v>
      </c>
    </row>
    <row r="9" spans="1:8">
      <c r="A9" s="452">
        <v>3.1</v>
      </c>
      <c r="B9" s="458" t="s">
        <v>816</v>
      </c>
      <c r="C9" s="454">
        <v>1205526374.78</v>
      </c>
      <c r="D9" s="454"/>
      <c r="E9" s="455">
        <f t="shared" si="0"/>
        <v>1205526374.78</v>
      </c>
      <c r="F9" s="454">
        <v>1077789104.1800001</v>
      </c>
      <c r="G9" s="454"/>
      <c r="H9" s="456">
        <f t="shared" si="1"/>
        <v>1077789104.1800001</v>
      </c>
    </row>
    <row r="10" spans="1:8">
      <c r="A10" s="452">
        <v>3.2</v>
      </c>
      <c r="B10" s="458" t="s">
        <v>817</v>
      </c>
      <c r="C10" s="454">
        <v>266105</v>
      </c>
      <c r="D10" s="454"/>
      <c r="E10" s="455">
        <f t="shared" si="0"/>
        <v>266105</v>
      </c>
      <c r="F10" s="454">
        <v>266105</v>
      </c>
      <c r="G10" s="454"/>
      <c r="H10" s="456">
        <f t="shared" si="1"/>
        <v>266105</v>
      </c>
    </row>
    <row r="11" spans="1:8">
      <c r="A11" s="452">
        <v>4</v>
      </c>
      <c r="B11" s="457" t="s">
        <v>178</v>
      </c>
      <c r="C11" s="454">
        <f>C12+C13</f>
        <v>0</v>
      </c>
      <c r="D11" s="454">
        <f>D12+D13</f>
        <v>0</v>
      </c>
      <c r="E11" s="455">
        <f t="shared" si="0"/>
        <v>0</v>
      </c>
      <c r="F11" s="454">
        <f>F12+F13</f>
        <v>0</v>
      </c>
      <c r="G11" s="454">
        <f>G12+G13</f>
        <v>0</v>
      </c>
      <c r="H11" s="456">
        <f t="shared" si="1"/>
        <v>0</v>
      </c>
    </row>
    <row r="12" spans="1:8">
      <c r="A12" s="452">
        <v>4.0999999999999996</v>
      </c>
      <c r="B12" s="458" t="s">
        <v>818</v>
      </c>
      <c r="C12" s="454"/>
      <c r="D12" s="454"/>
      <c r="E12" s="455">
        <f t="shared" si="0"/>
        <v>0</v>
      </c>
      <c r="F12" s="454"/>
      <c r="G12" s="454"/>
      <c r="H12" s="456">
        <f t="shared" si="1"/>
        <v>0</v>
      </c>
    </row>
    <row r="13" spans="1:8">
      <c r="A13" s="452">
        <v>4.2</v>
      </c>
      <c r="B13" s="458" t="s">
        <v>819</v>
      </c>
      <c r="C13" s="454"/>
      <c r="D13" s="454"/>
      <c r="E13" s="455">
        <f t="shared" si="0"/>
        <v>0</v>
      </c>
      <c r="F13" s="454"/>
      <c r="G13" s="454"/>
      <c r="H13" s="456">
        <f t="shared" si="1"/>
        <v>0</v>
      </c>
    </row>
    <row r="14" spans="1:8">
      <c r="A14" s="452">
        <v>5</v>
      </c>
      <c r="B14" s="459" t="s">
        <v>820</v>
      </c>
      <c r="C14" s="785">
        <f>C15+C16+C17+C23+C24+C25+C26</f>
        <v>1402988476.8299997</v>
      </c>
      <c r="D14" s="785">
        <f>D15+D16+D17+D23+D24+D25+D26</f>
        <v>1344700</v>
      </c>
      <c r="E14" s="455">
        <f t="shared" si="0"/>
        <v>1404333176.8299997</v>
      </c>
      <c r="F14" s="785">
        <f>F15+F16+F17+F23+F24+F25+F26</f>
        <v>1048946872.1900001</v>
      </c>
      <c r="G14" s="785">
        <f>G15+G16+G17+G23+G24+G25+G26</f>
        <v>2702000</v>
      </c>
      <c r="H14" s="456">
        <f t="shared" si="1"/>
        <v>1051648872.1900001</v>
      </c>
    </row>
    <row r="15" spans="1:8">
      <c r="A15" s="452">
        <v>5.0999999999999996</v>
      </c>
      <c r="B15" s="460" t="s">
        <v>821</v>
      </c>
      <c r="C15" s="454">
        <v>14987794.779999999</v>
      </c>
      <c r="D15" s="454">
        <v>1344700</v>
      </c>
      <c r="E15" s="455">
        <f t="shared" si="0"/>
        <v>16332494.779999999</v>
      </c>
      <c r="F15" s="454">
        <v>20218675.539999999</v>
      </c>
      <c r="G15" s="454">
        <v>2702000</v>
      </c>
      <c r="H15" s="456">
        <f t="shared" si="1"/>
        <v>22920675.539999999</v>
      </c>
    </row>
    <row r="16" spans="1:8">
      <c r="A16" s="452">
        <v>5.2</v>
      </c>
      <c r="B16" s="460" t="s">
        <v>822</v>
      </c>
      <c r="C16" s="454">
        <v>5004.78</v>
      </c>
      <c r="D16" s="454"/>
      <c r="E16" s="455">
        <f t="shared" si="0"/>
        <v>5004.78</v>
      </c>
      <c r="F16" s="454">
        <v>45090.78</v>
      </c>
      <c r="G16" s="454"/>
      <c r="H16" s="456">
        <f t="shared" si="1"/>
        <v>45090.78</v>
      </c>
    </row>
    <row r="17" spans="1:8">
      <c r="A17" s="452">
        <v>5.3</v>
      </c>
      <c r="B17" s="460" t="s">
        <v>823</v>
      </c>
      <c r="C17" s="785">
        <f>C18+C19+C20+C21+C22</f>
        <v>1239405818.7399998</v>
      </c>
      <c r="D17" s="785">
        <f>D18+D19+D20+D21+D22</f>
        <v>0</v>
      </c>
      <c r="E17" s="455">
        <f t="shared" si="0"/>
        <v>1239405818.7399998</v>
      </c>
      <c r="F17" s="785">
        <f>F18+F19+F20+F21+F22</f>
        <v>954875671.86000001</v>
      </c>
      <c r="G17" s="785"/>
      <c r="H17" s="456">
        <f t="shared" si="1"/>
        <v>954875671.86000001</v>
      </c>
    </row>
    <row r="18" spans="1:8">
      <c r="A18" s="452" t="s">
        <v>180</v>
      </c>
      <c r="B18" s="461" t="s">
        <v>824</v>
      </c>
      <c r="C18" s="454">
        <v>917850016.11000001</v>
      </c>
      <c r="D18" s="454"/>
      <c r="E18" s="455">
        <f t="shared" si="0"/>
        <v>917850016.11000001</v>
      </c>
      <c r="F18" s="454">
        <v>680468891.78999996</v>
      </c>
      <c r="G18" s="454"/>
      <c r="H18" s="456">
        <f t="shared" si="1"/>
        <v>680468891.78999996</v>
      </c>
    </row>
    <row r="19" spans="1:8">
      <c r="A19" s="452" t="s">
        <v>181</v>
      </c>
      <c r="B19" s="462" t="s">
        <v>825</v>
      </c>
      <c r="C19" s="454">
        <v>159524069.50999999</v>
      </c>
      <c r="D19" s="454"/>
      <c r="E19" s="455">
        <f t="shared" si="0"/>
        <v>159524069.50999999</v>
      </c>
      <c r="F19" s="454">
        <v>152552769.08000001</v>
      </c>
      <c r="G19" s="454"/>
      <c r="H19" s="456">
        <f t="shared" si="1"/>
        <v>152552769.08000001</v>
      </c>
    </row>
    <row r="20" spans="1:8">
      <c r="A20" s="452" t="s">
        <v>182</v>
      </c>
      <c r="B20" s="462" t="s">
        <v>826</v>
      </c>
      <c r="C20" s="454"/>
      <c r="D20" s="454"/>
      <c r="E20" s="455">
        <f t="shared" si="0"/>
        <v>0</v>
      </c>
      <c r="F20" s="454"/>
      <c r="G20" s="454"/>
      <c r="H20" s="456">
        <f t="shared" si="1"/>
        <v>0</v>
      </c>
    </row>
    <row r="21" spans="1:8">
      <c r="A21" s="452" t="s">
        <v>183</v>
      </c>
      <c r="B21" s="462" t="s">
        <v>827</v>
      </c>
      <c r="C21" s="454">
        <v>157637305</v>
      </c>
      <c r="D21" s="454"/>
      <c r="E21" s="455">
        <f t="shared" si="0"/>
        <v>157637305</v>
      </c>
      <c r="F21" s="454">
        <v>117644554</v>
      </c>
      <c r="G21" s="454"/>
      <c r="H21" s="456">
        <f t="shared" si="1"/>
        <v>117644554</v>
      </c>
    </row>
    <row r="22" spans="1:8">
      <c r="A22" s="452" t="s">
        <v>184</v>
      </c>
      <c r="B22" s="462" t="s">
        <v>541</v>
      </c>
      <c r="C22" s="454">
        <v>4394428.12</v>
      </c>
      <c r="D22" s="454"/>
      <c r="E22" s="455">
        <f t="shared" si="0"/>
        <v>4394428.12</v>
      </c>
      <c r="F22" s="454">
        <v>4209456.99</v>
      </c>
      <c r="G22" s="454"/>
      <c r="H22" s="456">
        <f t="shared" si="1"/>
        <v>4209456.99</v>
      </c>
    </row>
    <row r="23" spans="1:8">
      <c r="A23" s="452">
        <v>5.4</v>
      </c>
      <c r="B23" s="460" t="s">
        <v>828</v>
      </c>
      <c r="C23" s="454">
        <v>148589858.53</v>
      </c>
      <c r="D23" s="454"/>
      <c r="E23" s="455">
        <f t="shared" si="0"/>
        <v>148589858.53</v>
      </c>
      <c r="F23" s="454">
        <v>73807434.010000005</v>
      </c>
      <c r="G23" s="454"/>
      <c r="H23" s="456">
        <f t="shared" si="1"/>
        <v>73807434.010000005</v>
      </c>
    </row>
    <row r="24" spans="1:8">
      <c r="A24" s="452">
        <v>5.5</v>
      </c>
      <c r="B24" s="460" t="s">
        <v>829</v>
      </c>
      <c r="C24" s="454"/>
      <c r="D24" s="454"/>
      <c r="E24" s="455">
        <f t="shared" si="0"/>
        <v>0</v>
      </c>
      <c r="F24" s="454"/>
      <c r="G24" s="454"/>
      <c r="H24" s="456">
        <f t="shared" si="1"/>
        <v>0</v>
      </c>
    </row>
    <row r="25" spans="1:8">
      <c r="A25" s="452">
        <v>5.6</v>
      </c>
      <c r="B25" s="460" t="s">
        <v>830</v>
      </c>
      <c r="C25" s="454"/>
      <c r="D25" s="454"/>
      <c r="E25" s="455">
        <f t="shared" si="0"/>
        <v>0</v>
      </c>
      <c r="F25" s="454"/>
      <c r="G25" s="454"/>
      <c r="H25" s="456">
        <f t="shared" si="1"/>
        <v>0</v>
      </c>
    </row>
    <row r="26" spans="1:8">
      <c r="A26" s="452">
        <v>5.7</v>
      </c>
      <c r="B26" s="460" t="s">
        <v>541</v>
      </c>
      <c r="C26" s="454"/>
      <c r="D26" s="454"/>
      <c r="E26" s="455">
        <f t="shared" si="0"/>
        <v>0</v>
      </c>
      <c r="F26" s="454"/>
      <c r="G26" s="454"/>
      <c r="H26" s="456">
        <f t="shared" si="1"/>
        <v>0</v>
      </c>
    </row>
    <row r="27" spans="1:8">
      <c r="A27" s="452">
        <v>6</v>
      </c>
      <c r="B27" s="459" t="s">
        <v>831</v>
      </c>
      <c r="C27" s="454">
        <v>41406943</v>
      </c>
      <c r="D27" s="454">
        <v>14363621</v>
      </c>
      <c r="E27" s="455">
        <f t="shared" si="0"/>
        <v>55770564</v>
      </c>
      <c r="F27" s="454">
        <v>28188531.469999999</v>
      </c>
      <c r="G27" s="454">
        <v>16802802</v>
      </c>
      <c r="H27" s="456">
        <f t="shared" si="1"/>
        <v>44991333.469999999</v>
      </c>
    </row>
    <row r="28" spans="1:8">
      <c r="A28" s="452">
        <v>7</v>
      </c>
      <c r="B28" s="459" t="s">
        <v>832</v>
      </c>
      <c r="C28" s="454">
        <v>429000</v>
      </c>
      <c r="D28" s="454"/>
      <c r="E28" s="455">
        <f t="shared" si="0"/>
        <v>429000</v>
      </c>
      <c r="F28" s="454">
        <v>305899</v>
      </c>
      <c r="G28" s="454"/>
      <c r="H28" s="456">
        <f t="shared" si="1"/>
        <v>305899</v>
      </c>
    </row>
    <row r="29" spans="1:8">
      <c r="A29" s="452">
        <v>8</v>
      </c>
      <c r="B29" s="459" t="s">
        <v>833</v>
      </c>
      <c r="C29" s="454"/>
      <c r="D29" s="454"/>
      <c r="E29" s="455">
        <f t="shared" si="0"/>
        <v>0</v>
      </c>
      <c r="F29" s="454"/>
      <c r="G29" s="454"/>
      <c r="H29" s="456">
        <f t="shared" si="1"/>
        <v>0</v>
      </c>
    </row>
    <row r="30" spans="1:8">
      <c r="A30" s="452">
        <v>9</v>
      </c>
      <c r="B30" s="457" t="s">
        <v>185</v>
      </c>
      <c r="C30" s="785">
        <f>C31+C32+C33+C34+C35+C36+C37</f>
        <v>230946324.5</v>
      </c>
      <c r="D30" s="785">
        <f>D31+D32+D33+D34+D35+D36+D37</f>
        <v>5973860</v>
      </c>
      <c r="E30" s="455">
        <f t="shared" si="0"/>
        <v>236920184.5</v>
      </c>
      <c r="F30" s="785">
        <f>F31+F32+F33+F34+F35+F36+F37</f>
        <v>170967056.40000001</v>
      </c>
      <c r="G30" s="785">
        <f>G31+G32+G33+G34+G35+G36+G37</f>
        <v>0</v>
      </c>
      <c r="H30" s="456">
        <f t="shared" si="1"/>
        <v>170967056.40000001</v>
      </c>
    </row>
    <row r="31" spans="1:8" ht="27.6">
      <c r="A31" s="452">
        <v>9.1</v>
      </c>
      <c r="B31" s="458" t="s">
        <v>834</v>
      </c>
      <c r="C31" s="454"/>
      <c r="D31" s="454"/>
      <c r="E31" s="455">
        <f t="shared" si="0"/>
        <v>0</v>
      </c>
      <c r="F31" s="454"/>
      <c r="G31" s="454"/>
      <c r="H31" s="456">
        <f t="shared" si="1"/>
        <v>0</v>
      </c>
    </row>
    <row r="32" spans="1:8" ht="27.6">
      <c r="A32" s="452">
        <v>9.1999999999999993</v>
      </c>
      <c r="B32" s="458" t="s">
        <v>835</v>
      </c>
      <c r="C32" s="454">
        <v>230946324.5</v>
      </c>
      <c r="D32" s="454">
        <v>5973860</v>
      </c>
      <c r="E32" s="455">
        <f t="shared" si="0"/>
        <v>236920184.5</v>
      </c>
      <c r="F32" s="454">
        <v>170967056.40000001</v>
      </c>
      <c r="G32" s="454"/>
      <c r="H32" s="456">
        <f t="shared" si="1"/>
        <v>170967056.40000001</v>
      </c>
    </row>
    <row r="33" spans="1:8" ht="27.6">
      <c r="A33" s="452">
        <v>9.3000000000000007</v>
      </c>
      <c r="B33" s="458" t="s">
        <v>836</v>
      </c>
      <c r="C33" s="454"/>
      <c r="D33" s="454"/>
      <c r="E33" s="455">
        <f t="shared" si="0"/>
        <v>0</v>
      </c>
      <c r="F33" s="454"/>
      <c r="G33" s="454"/>
      <c r="H33" s="456">
        <f t="shared" si="1"/>
        <v>0</v>
      </c>
    </row>
    <row r="34" spans="1:8">
      <c r="A34" s="452">
        <v>9.4</v>
      </c>
      <c r="B34" s="458" t="s">
        <v>837</v>
      </c>
      <c r="C34" s="454"/>
      <c r="D34" s="454"/>
      <c r="E34" s="455">
        <f t="shared" si="0"/>
        <v>0</v>
      </c>
      <c r="F34" s="454"/>
      <c r="G34" s="454"/>
      <c r="H34" s="456">
        <f t="shared" si="1"/>
        <v>0</v>
      </c>
    </row>
    <row r="35" spans="1:8">
      <c r="A35" s="452">
        <v>9.5</v>
      </c>
      <c r="B35" s="458" t="s">
        <v>838</v>
      </c>
      <c r="C35" s="454"/>
      <c r="D35" s="454"/>
      <c r="E35" s="455">
        <f t="shared" si="0"/>
        <v>0</v>
      </c>
      <c r="F35" s="454"/>
      <c r="G35" s="454"/>
      <c r="H35" s="456">
        <f t="shared" si="1"/>
        <v>0</v>
      </c>
    </row>
    <row r="36" spans="1:8" ht="27.6">
      <c r="A36" s="452">
        <v>9.6</v>
      </c>
      <c r="B36" s="458" t="s">
        <v>839</v>
      </c>
      <c r="C36" s="454"/>
      <c r="D36" s="454"/>
      <c r="E36" s="455">
        <f t="shared" si="0"/>
        <v>0</v>
      </c>
      <c r="F36" s="454"/>
      <c r="G36" s="454"/>
      <c r="H36" s="456">
        <f t="shared" si="1"/>
        <v>0</v>
      </c>
    </row>
    <row r="37" spans="1:8" ht="27.6">
      <c r="A37" s="452">
        <v>9.6999999999999993</v>
      </c>
      <c r="B37" s="458" t="s">
        <v>840</v>
      </c>
      <c r="C37" s="454"/>
      <c r="D37" s="454"/>
      <c r="E37" s="455">
        <f t="shared" si="0"/>
        <v>0</v>
      </c>
      <c r="F37" s="454"/>
      <c r="G37" s="454"/>
      <c r="H37" s="456">
        <f t="shared" si="1"/>
        <v>0</v>
      </c>
    </row>
    <row r="38" spans="1:8">
      <c r="A38" s="452">
        <v>10</v>
      </c>
      <c r="B38" s="459" t="s">
        <v>841</v>
      </c>
      <c r="C38" s="785">
        <f>C39+C40+C41+C42</f>
        <v>231194463.78999999</v>
      </c>
      <c r="D38" s="785">
        <f>D39+D40+D41+D42</f>
        <v>6384177.1054580007</v>
      </c>
      <c r="E38" s="455">
        <f t="shared" si="0"/>
        <v>237578640.89545798</v>
      </c>
      <c r="F38" s="785">
        <f>F39+F40+F41+F42</f>
        <v>164882885.22919998</v>
      </c>
      <c r="G38" s="785">
        <f>G39+G40+G41+G42</f>
        <v>1863108.6732700027</v>
      </c>
      <c r="H38" s="456">
        <f t="shared" si="1"/>
        <v>166745993.90246999</v>
      </c>
    </row>
    <row r="39" spans="1:8">
      <c r="A39" s="452">
        <v>10.1</v>
      </c>
      <c r="B39" s="458" t="s">
        <v>842</v>
      </c>
      <c r="C39" s="454">
        <v>11645174.38999998</v>
      </c>
      <c r="D39" s="454">
        <v>510598.971326</v>
      </c>
      <c r="E39" s="455">
        <f t="shared" si="0"/>
        <v>12155773.361325979</v>
      </c>
      <c r="F39" s="454">
        <v>11805726.83</v>
      </c>
      <c r="G39" s="454">
        <v>7841</v>
      </c>
      <c r="H39" s="456">
        <f t="shared" si="1"/>
        <v>11813567.83</v>
      </c>
    </row>
    <row r="40" spans="1:8" ht="27.6">
      <c r="A40" s="452">
        <v>10.199999999999999</v>
      </c>
      <c r="B40" s="458" t="s">
        <v>843</v>
      </c>
      <c r="C40" s="454">
        <v>6677372</v>
      </c>
      <c r="D40" s="454">
        <v>99207</v>
      </c>
      <c r="E40" s="455">
        <f t="shared" si="0"/>
        <v>6776579</v>
      </c>
      <c r="F40" s="454">
        <v>6437543.3299999796</v>
      </c>
      <c r="G40" s="454">
        <v>33979</v>
      </c>
      <c r="H40" s="456">
        <f t="shared" si="1"/>
        <v>6471522.3299999796</v>
      </c>
    </row>
    <row r="41" spans="1:8" ht="27.6">
      <c r="A41" s="452">
        <v>10.3</v>
      </c>
      <c r="B41" s="458" t="s">
        <v>844</v>
      </c>
      <c r="C41" s="454">
        <v>136310248.40000001</v>
      </c>
      <c r="D41" s="454">
        <v>2829065.1341320002</v>
      </c>
      <c r="E41" s="455">
        <f t="shared" si="0"/>
        <v>139139313.534132</v>
      </c>
      <c r="F41" s="454">
        <v>90157978.389200032</v>
      </c>
      <c r="G41" s="454">
        <v>239382.81606300152</v>
      </c>
      <c r="H41" s="456">
        <f t="shared" si="1"/>
        <v>90397361.205263034</v>
      </c>
    </row>
    <row r="42" spans="1:8" ht="27.6">
      <c r="A42" s="452">
        <v>10.4</v>
      </c>
      <c r="B42" s="458" t="s">
        <v>845</v>
      </c>
      <c r="C42" s="454">
        <v>76561669</v>
      </c>
      <c r="D42" s="454">
        <v>2945306</v>
      </c>
      <c r="E42" s="455">
        <f t="shared" si="0"/>
        <v>79506975</v>
      </c>
      <c r="F42" s="454">
        <v>56481636.679999962</v>
      </c>
      <c r="G42" s="454">
        <v>1581905.8572070012</v>
      </c>
      <c r="H42" s="456">
        <f t="shared" si="1"/>
        <v>58063542.537206963</v>
      </c>
    </row>
    <row r="43" spans="1:8">
      <c r="A43" s="452">
        <v>11</v>
      </c>
      <c r="B43" s="463" t="s">
        <v>186</v>
      </c>
      <c r="C43" s="454"/>
      <c r="D43" s="454"/>
      <c r="E43" s="455">
        <f t="shared" si="0"/>
        <v>0</v>
      </c>
      <c r="F43" s="454"/>
      <c r="G43" s="454"/>
      <c r="H43" s="456">
        <f t="shared" si="1"/>
        <v>0</v>
      </c>
    </row>
    <row r="44" spans="1:8">
      <c r="C44" s="465"/>
      <c r="D44" s="465"/>
      <c r="E44" s="465"/>
      <c r="F44" s="465"/>
      <c r="G44" s="465"/>
      <c r="H44" s="465"/>
    </row>
    <row r="45" spans="1:8">
      <c r="C45" s="465"/>
      <c r="D45" s="465"/>
      <c r="E45" s="465"/>
      <c r="F45" s="465"/>
      <c r="G45" s="465"/>
      <c r="H45" s="465"/>
    </row>
    <row r="46" spans="1:8">
      <c r="C46" s="465"/>
      <c r="D46" s="465"/>
      <c r="E46" s="465"/>
      <c r="F46" s="465"/>
      <c r="G46" s="465"/>
      <c r="H46" s="465"/>
    </row>
    <row r="47" spans="1:8">
      <c r="C47" s="465"/>
      <c r="D47" s="465"/>
      <c r="E47" s="465"/>
      <c r="F47" s="465"/>
      <c r="G47" s="465"/>
      <c r="H47" s="465"/>
    </row>
  </sheetData>
  <mergeCells count="4">
    <mergeCell ref="A4:A5"/>
    <mergeCell ref="B4:B5"/>
    <mergeCell ref="C4:E4"/>
    <mergeCell ref="F4:H4"/>
  </mergeCells>
  <pageMargins left="0.7" right="0.7" top="0.75" bottom="0.75" header="0.3" footer="0.3"/>
  <pageSetup paperSize="9" orientation="portrait" verticalDpi="0" r:id="rId1"/>
  <ignoredErrors>
    <ignoredError sqref="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7" width="12.33203125" style="8" bestFit="1" customWidth="1"/>
    <col min="8" max="11" width="9.77734375" style="8" customWidth="1"/>
    <col min="12" max="16384" width="9.21875" style="8"/>
  </cols>
  <sheetData>
    <row r="1" spans="1:7">
      <c r="A1" s="13" t="s">
        <v>108</v>
      </c>
      <c r="B1" s="12" t="str">
        <f>Info!C2</f>
        <v>კრედო</v>
      </c>
      <c r="C1" s="12"/>
    </row>
    <row r="2" spans="1:7">
      <c r="A2" s="13" t="s">
        <v>109</v>
      </c>
      <c r="B2" s="346">
        <f>'1. key ratios'!B2</f>
        <v>45291</v>
      </c>
      <c r="C2" s="12"/>
    </row>
    <row r="3" spans="1:7">
      <c r="A3" s="13"/>
      <c r="B3" s="12"/>
      <c r="C3" s="12"/>
    </row>
    <row r="4" spans="1:7" ht="15" customHeight="1" thickBot="1">
      <c r="A4" s="145" t="s">
        <v>253</v>
      </c>
      <c r="B4" s="146" t="s">
        <v>107</v>
      </c>
      <c r="C4" s="147" t="s">
        <v>87</v>
      </c>
    </row>
    <row r="5" spans="1:7" ht="15" customHeight="1">
      <c r="A5" s="143" t="s">
        <v>25</v>
      </c>
      <c r="B5" s="144"/>
      <c r="C5" s="331" t="str">
        <f>INT((MONTH($B$2))/3)&amp;"Q"&amp;"-"&amp;YEAR($B$2)</f>
        <v>4Q-2023</v>
      </c>
      <c r="D5" s="331" t="str">
        <f>IF(INT(MONTH($B$2))=3, "4"&amp;"Q"&amp;"-"&amp;YEAR($B$2)-1, IF(INT(MONTH($B$2))=6, "1"&amp;"Q"&amp;"-"&amp;YEAR($B$2), IF(INT(MONTH($B$2))=9, "2"&amp;"Q"&amp;"-"&amp;YEAR($B$2),IF(INT(MONTH($B$2))=12, "3"&amp;"Q"&amp;"-"&amp;YEAR($B$2), 0))))</f>
        <v>3Q-2023</v>
      </c>
      <c r="E5" s="331" t="str">
        <f>IF(INT(MONTH($B$2))=3, "3"&amp;"Q"&amp;"-"&amp;YEAR($B$2)-1, IF(INT(MONTH($B$2))=6, "4"&amp;"Q"&amp;"-"&amp;YEAR($B$2)-1, IF(INT(MONTH($B$2))=9, "1"&amp;"Q"&amp;"-"&amp;YEAR($B$2),IF(INT(MONTH($B$2))=12, "2"&amp;"Q"&amp;"-"&amp;YEAR($B$2), 0))))</f>
        <v>2Q-2023</v>
      </c>
      <c r="F5" s="331" t="str">
        <f>IF(INT(MONTH($B$2))=3, "2"&amp;"Q"&amp;"-"&amp;YEAR($B$2)-1, IF(INT(MONTH($B$2))=6, "3"&amp;"Q"&amp;"-"&amp;YEAR($B$2)-1, IF(INT(MONTH($B$2))=9, "4"&amp;"Q"&amp;"-"&amp;YEAR($B$2)-1,IF(INT(MONTH($B$2))=12, "1"&amp;"Q"&amp;"-"&amp;YEAR($B$2), 0))))</f>
        <v>1Q-2023</v>
      </c>
      <c r="G5" s="331" t="str">
        <f>IF(INT(MONTH($B$2))=3, "1"&amp;"Q"&amp;"-"&amp;YEAR($B$2)-1, IF(INT(MONTH($B$2))=6, "2"&amp;"Q"&amp;"-"&amp;YEAR($B$2)-1, IF(INT(MONTH($B$2))=9, "3"&amp;"Q"&amp;"-"&amp;YEAR($B$2)-1,IF(INT(MONTH($B$2))=12, "4"&amp;"Q"&amp;"-"&amp;YEAR($B$2)-1, 0))))</f>
        <v>4Q-2022</v>
      </c>
    </row>
    <row r="6" spans="1:7" ht="15" customHeight="1">
      <c r="A6" s="264">
        <v>1</v>
      </c>
      <c r="B6" s="316" t="s">
        <v>112</v>
      </c>
      <c r="C6" s="265">
        <f>C7+C9+C10</f>
        <v>1647958162.010041</v>
      </c>
      <c r="D6" s="318">
        <f>D7+D9+D10</f>
        <v>1555571144.3906891</v>
      </c>
      <c r="E6" s="266">
        <f t="shared" ref="E6:G6" si="0">E7+E9+E10</f>
        <v>1513603449.19348</v>
      </c>
      <c r="F6" s="265">
        <f t="shared" si="0"/>
        <v>1457145175.4120243</v>
      </c>
      <c r="G6" s="319">
        <f t="shared" si="0"/>
        <v>1494733348.371649</v>
      </c>
    </row>
    <row r="7" spans="1:7" ht="15" customHeight="1">
      <c r="A7" s="264">
        <v>1.1000000000000001</v>
      </c>
      <c r="B7" s="267" t="s">
        <v>436</v>
      </c>
      <c r="C7" s="268">
        <v>1622174123.478791</v>
      </c>
      <c r="D7" s="320">
        <v>1533806374.343189</v>
      </c>
      <c r="E7" s="268">
        <v>1493803420.6659799</v>
      </c>
      <c r="F7" s="268">
        <v>1438725774.1332741</v>
      </c>
      <c r="G7" s="321">
        <v>1475242645.1091492</v>
      </c>
    </row>
    <row r="8" spans="1:7" ht="27.6">
      <c r="A8" s="264" t="s">
        <v>157</v>
      </c>
      <c r="B8" s="269" t="s">
        <v>250</v>
      </c>
      <c r="C8" s="268"/>
      <c r="D8" s="320"/>
      <c r="E8" s="268"/>
      <c r="F8" s="268"/>
      <c r="G8" s="321"/>
    </row>
    <row r="9" spans="1:7" ht="15" customHeight="1">
      <c r="A9" s="264">
        <v>1.2</v>
      </c>
      <c r="B9" s="267" t="s">
        <v>21</v>
      </c>
      <c r="C9" s="268">
        <v>21165112.041249998</v>
      </c>
      <c r="D9" s="320">
        <v>18026448.327499997</v>
      </c>
      <c r="E9" s="268">
        <v>16187572.1175</v>
      </c>
      <c r="F9" s="268">
        <v>14885125.138750002</v>
      </c>
      <c r="G9" s="321">
        <v>16071362.142499998</v>
      </c>
    </row>
    <row r="10" spans="1:7" ht="15" customHeight="1">
      <c r="A10" s="264">
        <v>1.3</v>
      </c>
      <c r="B10" s="317" t="s">
        <v>74</v>
      </c>
      <c r="C10" s="268">
        <v>4618926.49</v>
      </c>
      <c r="D10" s="320">
        <v>3738321.72</v>
      </c>
      <c r="E10" s="268">
        <v>3612456.41</v>
      </c>
      <c r="F10" s="268">
        <v>3534276.14</v>
      </c>
      <c r="G10" s="321">
        <v>3419341.12</v>
      </c>
    </row>
    <row r="11" spans="1:7" ht="15" customHeight="1">
      <c r="A11" s="264">
        <v>2</v>
      </c>
      <c r="B11" s="316" t="s">
        <v>113</v>
      </c>
      <c r="C11" s="268">
        <v>2265325.0599982855</v>
      </c>
      <c r="D11" s="320">
        <v>912850.53000352031</v>
      </c>
      <c r="E11" s="268">
        <v>680131.54784977494</v>
      </c>
      <c r="F11" s="268">
        <v>396149</v>
      </c>
      <c r="G11" s="321">
        <v>531909.49999903305</v>
      </c>
    </row>
    <row r="12" spans="1:7" ht="15" customHeight="1">
      <c r="A12" s="264">
        <v>3</v>
      </c>
      <c r="B12" s="316" t="s">
        <v>111</v>
      </c>
      <c r="C12" s="268">
        <v>502322297.5343622</v>
      </c>
      <c r="D12" s="320">
        <v>435833167.47878599</v>
      </c>
      <c r="E12" s="268">
        <v>435833167.47878599</v>
      </c>
      <c r="F12" s="268">
        <v>435833167.47878599</v>
      </c>
      <c r="G12" s="321">
        <v>435833167.47878599</v>
      </c>
    </row>
    <row r="13" spans="1:7" ht="15" customHeight="1" thickBot="1">
      <c r="A13" s="76">
        <v>4</v>
      </c>
      <c r="B13" s="324" t="s">
        <v>158</v>
      </c>
      <c r="C13" s="165">
        <f>C6+C11+C12</f>
        <v>2152545784.6044016</v>
      </c>
      <c r="D13" s="322">
        <f>D6+D11+D12</f>
        <v>1992317162.3994787</v>
      </c>
      <c r="E13" s="166">
        <f t="shared" ref="E13:G13" si="1">E6+E11+E12</f>
        <v>1950116748.2201159</v>
      </c>
      <c r="F13" s="165">
        <f t="shared" si="1"/>
        <v>1893374491.8908103</v>
      </c>
      <c r="G13" s="323">
        <f t="shared" si="1"/>
        <v>1931098425.3504341</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pane xSplit="1" ySplit="4" topLeftCell="B32" activePane="bottomRight" state="frozen"/>
      <selection pane="topRight" activeCell="B1" sqref="B1"/>
      <selection pane="bottomLeft" activeCell="A4" sqref="A4"/>
      <selection pane="bottomRight" activeCell="F44" sqref="F44"/>
    </sheetView>
  </sheetViews>
  <sheetFormatPr defaultRowHeight="14.4"/>
  <cols>
    <col min="1" max="1" width="9.5546875" style="1" bestFit="1" customWidth="1"/>
    <col min="2" max="2" width="58.77734375" style="1" customWidth="1"/>
    <col min="3" max="3" width="40.21875" style="1" bestFit="1" customWidth="1"/>
  </cols>
  <sheetData>
    <row r="1" spans="1:8">
      <c r="A1" s="1" t="s">
        <v>108</v>
      </c>
      <c r="B1" s="1" t="str">
        <f>Info!C2</f>
        <v>კრედო</v>
      </c>
    </row>
    <row r="2" spans="1:8">
      <c r="A2" s="1" t="s">
        <v>109</v>
      </c>
      <c r="B2" s="346">
        <f>'1. key ratios'!B2</f>
        <v>45291</v>
      </c>
    </row>
    <row r="4" spans="1:8" ht="25.5" customHeight="1" thickBot="1">
      <c r="A4" s="159" t="s">
        <v>254</v>
      </c>
      <c r="B4" s="24" t="s">
        <v>91</v>
      </c>
      <c r="C4" s="9"/>
    </row>
    <row r="5" spans="1:8">
      <c r="A5" s="7"/>
      <c r="B5" s="312" t="s">
        <v>92</v>
      </c>
      <c r="C5" s="329" t="s">
        <v>450</v>
      </c>
    </row>
    <row r="6" spans="1:8" ht="15">
      <c r="A6" s="10">
        <v>1</v>
      </c>
      <c r="B6" s="25" t="s">
        <v>956</v>
      </c>
      <c r="C6" s="325" t="s">
        <v>999</v>
      </c>
    </row>
    <row r="7" spans="1:8" ht="15">
      <c r="A7" s="10">
        <v>2</v>
      </c>
      <c r="B7" s="25" t="s">
        <v>957</v>
      </c>
      <c r="C7" s="325" t="s">
        <v>998</v>
      </c>
    </row>
    <row r="8" spans="1:8" ht="15">
      <c r="A8" s="10">
        <v>3</v>
      </c>
      <c r="B8" s="25" t="s">
        <v>958</v>
      </c>
      <c r="C8" s="325" t="s">
        <v>959</v>
      </c>
    </row>
    <row r="9" spans="1:8" ht="15">
      <c r="A9" s="10">
        <v>4</v>
      </c>
      <c r="B9" s="25" t="s">
        <v>960</v>
      </c>
      <c r="C9" s="325" t="s">
        <v>998</v>
      </c>
    </row>
    <row r="10" spans="1:8" ht="15">
      <c r="A10" s="10">
        <v>5</v>
      </c>
      <c r="B10" s="25" t="s">
        <v>961</v>
      </c>
      <c r="C10" s="325" t="s">
        <v>959</v>
      </c>
    </row>
    <row r="11" spans="1:8" ht="15">
      <c r="A11" s="10">
        <v>6</v>
      </c>
      <c r="B11" s="25" t="s">
        <v>962</v>
      </c>
      <c r="C11" s="325" t="s">
        <v>959</v>
      </c>
    </row>
    <row r="12" spans="1:8" ht="15">
      <c r="A12" s="10">
        <v>7</v>
      </c>
      <c r="B12" s="25"/>
      <c r="C12" s="325"/>
      <c r="H12" s="2"/>
    </row>
    <row r="13" spans="1:8" ht="15">
      <c r="A13" s="10">
        <v>8</v>
      </c>
      <c r="B13" s="25"/>
      <c r="C13" s="325"/>
    </row>
    <row r="14" spans="1:8" ht="15">
      <c r="A14" s="10">
        <v>9</v>
      </c>
      <c r="B14" s="25"/>
      <c r="C14" s="325"/>
    </row>
    <row r="15" spans="1:8" ht="15">
      <c r="A15" s="10">
        <v>10</v>
      </c>
      <c r="B15" s="25"/>
      <c r="C15" s="325"/>
    </row>
    <row r="16" spans="1:8" ht="15">
      <c r="A16" s="10"/>
      <c r="B16" s="846"/>
      <c r="C16" s="847"/>
    </row>
    <row r="17" spans="1:3" ht="41.4">
      <c r="A17" s="10"/>
      <c r="B17" s="313" t="s">
        <v>93</v>
      </c>
      <c r="C17" s="330" t="s">
        <v>451</v>
      </c>
    </row>
    <row r="18" spans="1:3">
      <c r="A18" s="10">
        <v>1</v>
      </c>
      <c r="B18" s="21" t="s">
        <v>963</v>
      </c>
      <c r="C18" s="327" t="s">
        <v>964</v>
      </c>
    </row>
    <row r="19" spans="1:3">
      <c r="A19" s="10">
        <v>2</v>
      </c>
      <c r="B19" s="21" t="s">
        <v>965</v>
      </c>
      <c r="C19" s="327" t="s">
        <v>966</v>
      </c>
    </row>
    <row r="20" spans="1:3">
      <c r="A20" s="10">
        <v>3</v>
      </c>
      <c r="B20" s="21" t="s">
        <v>967</v>
      </c>
      <c r="C20" s="327" t="s">
        <v>968</v>
      </c>
    </row>
    <row r="21" spans="1:3">
      <c r="A21" s="10">
        <v>4</v>
      </c>
      <c r="B21" s="21" t="s">
        <v>969</v>
      </c>
      <c r="C21" s="327" t="s">
        <v>970</v>
      </c>
    </row>
    <row r="22" spans="1:3">
      <c r="A22" s="10">
        <v>5</v>
      </c>
      <c r="B22" s="21" t="s">
        <v>971</v>
      </c>
      <c r="C22" s="327" t="s">
        <v>972</v>
      </c>
    </row>
    <row r="23" spans="1:3">
      <c r="A23" s="10">
        <v>6</v>
      </c>
      <c r="B23" s="21" t="s">
        <v>973</v>
      </c>
      <c r="C23" s="327" t="s">
        <v>974</v>
      </c>
    </row>
    <row r="24" spans="1:3" ht="15.75" customHeight="1">
      <c r="A24" s="10"/>
      <c r="B24" s="21"/>
      <c r="C24" s="328"/>
    </row>
    <row r="25" spans="1:3" ht="15.75" customHeight="1">
      <c r="A25" s="10"/>
      <c r="B25" s="21"/>
      <c r="C25" s="22"/>
    </row>
    <row r="26" spans="1:3" ht="30" customHeight="1">
      <c r="A26" s="10"/>
      <c r="B26" s="848" t="s">
        <v>94</v>
      </c>
      <c r="C26" s="849"/>
    </row>
    <row r="27" spans="1:3" ht="15">
      <c r="A27" s="10">
        <v>1</v>
      </c>
      <c r="B27" s="25" t="s">
        <v>975</v>
      </c>
      <c r="C27" s="735">
        <v>0.50838446671260196</v>
      </c>
    </row>
    <row r="28" spans="1:3" ht="15">
      <c r="A28" s="731">
        <v>2</v>
      </c>
      <c r="B28" s="732" t="s">
        <v>976</v>
      </c>
      <c r="C28" s="735">
        <v>8.3604754492603975E-2</v>
      </c>
    </row>
    <row r="29" spans="1:3" ht="15">
      <c r="A29" s="10">
        <v>3</v>
      </c>
      <c r="B29" s="732" t="s">
        <v>977</v>
      </c>
      <c r="C29" s="735">
        <v>8.3604754492603975E-2</v>
      </c>
    </row>
    <row r="30" spans="1:3" ht="15">
      <c r="A30" s="731">
        <v>4</v>
      </c>
      <c r="B30" s="732" t="s">
        <v>978</v>
      </c>
      <c r="C30" s="735">
        <v>7.8875596662719302E-2</v>
      </c>
    </row>
    <row r="31" spans="1:3" ht="28.8">
      <c r="A31" s="10">
        <v>5</v>
      </c>
      <c r="B31" s="732" t="s">
        <v>979</v>
      </c>
      <c r="C31" s="735">
        <v>7.4230888079796858E-2</v>
      </c>
    </row>
    <row r="32" spans="1:3" ht="28.8">
      <c r="A32" s="731">
        <v>6</v>
      </c>
      <c r="B32" s="732" t="s">
        <v>980</v>
      </c>
      <c r="C32" s="735">
        <v>1.5792009181936306E-2</v>
      </c>
    </row>
    <row r="33" spans="1:3" ht="28.8">
      <c r="A33" s="10">
        <v>7</v>
      </c>
      <c r="B33" s="732" t="s">
        <v>981</v>
      </c>
      <c r="C33" s="735">
        <v>0.14863067465351817</v>
      </c>
    </row>
    <row r="34" spans="1:3" ht="15">
      <c r="A34" s="731"/>
      <c r="B34" s="732"/>
      <c r="C34" s="26"/>
    </row>
    <row r="35" spans="1:3" ht="15.75" customHeight="1">
      <c r="A35" s="10"/>
      <c r="B35" s="25"/>
      <c r="C35" s="26"/>
    </row>
    <row r="36" spans="1:3" ht="29.25" customHeight="1">
      <c r="A36" s="10"/>
      <c r="B36" s="848" t="s">
        <v>174</v>
      </c>
      <c r="C36" s="849"/>
    </row>
    <row r="37" spans="1:3" ht="15">
      <c r="A37" s="10">
        <v>1</v>
      </c>
      <c r="B37" s="25" t="s">
        <v>982</v>
      </c>
      <c r="C37" s="736">
        <v>6.0385566840000002E-2</v>
      </c>
    </row>
    <row r="38" spans="1:3" ht="15">
      <c r="A38" s="733">
        <v>2</v>
      </c>
      <c r="B38" s="734" t="s">
        <v>983</v>
      </c>
      <c r="C38" s="737">
        <v>6.0385566840000002E-2</v>
      </c>
    </row>
    <row r="39" spans="1:3" ht="15">
      <c r="A39" s="10">
        <v>3</v>
      </c>
      <c r="B39" s="734" t="s">
        <v>984</v>
      </c>
      <c r="C39" s="737">
        <v>7.6018378560000016E-2</v>
      </c>
    </row>
    <row r="40" spans="1:3" ht="15">
      <c r="A40" s="733">
        <v>4</v>
      </c>
      <c r="B40" s="734" t="s">
        <v>985</v>
      </c>
      <c r="C40" s="737">
        <v>6.4932365020000007E-2</v>
      </c>
    </row>
    <row r="41" spans="1:3" ht="15">
      <c r="A41" s="10">
        <v>5</v>
      </c>
      <c r="B41" s="734" t="s">
        <v>986</v>
      </c>
      <c r="C41" s="737">
        <v>0.12143527274</v>
      </c>
    </row>
    <row r="42" spans="1:3" ht="15">
      <c r="A42" s="733">
        <v>6</v>
      </c>
      <c r="B42" s="734" t="s">
        <v>987</v>
      </c>
      <c r="C42" s="737">
        <v>7.2861163643999999E-2</v>
      </c>
    </row>
    <row r="43" spans="1:3" ht="15">
      <c r="A43" s="10">
        <v>7</v>
      </c>
      <c r="B43" s="734" t="s">
        <v>988</v>
      </c>
      <c r="C43" s="737">
        <v>5.726922202000001E-2</v>
      </c>
    </row>
    <row r="44" spans="1:3" ht="15">
      <c r="A44" s="733">
        <v>8</v>
      </c>
      <c r="B44" s="734" t="s">
        <v>989</v>
      </c>
      <c r="C44" s="737">
        <v>0.11055585160427807</v>
      </c>
    </row>
    <row r="45" spans="1:3" ht="15.6" thickBot="1">
      <c r="A45" s="11"/>
      <c r="B45" s="27"/>
      <c r="C45" s="326"/>
    </row>
  </sheetData>
  <mergeCells count="3">
    <mergeCell ref="B16:C16"/>
    <mergeCell ref="B36:C36"/>
    <mergeCell ref="B26:C26"/>
  </mergeCells>
  <dataValidations count="1">
    <dataValidation type="list" allowBlank="1" showInputMessage="1" showErrorMessage="1" sqref="C7: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7" activePane="bottomRight" state="frozen"/>
      <selection activeCell="H6" sqref="H6"/>
      <selection pane="topRight" activeCell="H6" sqref="H6"/>
      <selection pane="bottomLeft" activeCell="H6" sqref="H6"/>
      <selection pane="bottomRight" activeCell="E8" sqref="E8:E36"/>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108</v>
      </c>
      <c r="B1" s="12" t="str">
        <f>Info!C2</f>
        <v>კრედო</v>
      </c>
    </row>
    <row r="2" spans="1:5" s="13" customFormat="1" ht="15.75" customHeight="1">
      <c r="A2" s="13" t="s">
        <v>109</v>
      </c>
      <c r="B2" s="346">
        <f>'1. key ratios'!B2</f>
        <v>45291</v>
      </c>
    </row>
    <row r="3" spans="1:5" s="13" customFormat="1" ht="15.75" customHeight="1"/>
    <row r="4" spans="1:5" s="13" customFormat="1" ht="15.75" customHeight="1" thickBot="1">
      <c r="A4" s="160" t="s">
        <v>255</v>
      </c>
      <c r="B4" s="161" t="s">
        <v>168</v>
      </c>
      <c r="C4" s="125"/>
      <c r="D4" s="125"/>
      <c r="E4" s="126" t="s">
        <v>87</v>
      </c>
    </row>
    <row r="5" spans="1:5" s="72" customFormat="1" ht="17.55" customHeight="1">
      <c r="A5" s="242"/>
      <c r="B5" s="243"/>
      <c r="C5" s="124" t="s">
        <v>0</v>
      </c>
      <c r="D5" s="124" t="s">
        <v>1</v>
      </c>
      <c r="E5" s="244" t="s">
        <v>2</v>
      </c>
    </row>
    <row r="6" spans="1:5" ht="14.55" customHeight="1">
      <c r="A6" s="245"/>
      <c r="B6" s="850" t="s">
        <v>144</v>
      </c>
      <c r="C6" s="850" t="s">
        <v>859</v>
      </c>
      <c r="D6" s="851" t="s">
        <v>143</v>
      </c>
      <c r="E6" s="852"/>
    </row>
    <row r="7" spans="1:5" ht="99.6" customHeight="1">
      <c r="A7" s="245"/>
      <c r="B7" s="850"/>
      <c r="C7" s="850"/>
      <c r="D7" s="240" t="s">
        <v>142</v>
      </c>
      <c r="E7" s="241" t="s">
        <v>353</v>
      </c>
    </row>
    <row r="8" spans="1:5" ht="22.5" customHeight="1">
      <c r="A8" s="467">
        <v>1</v>
      </c>
      <c r="B8" s="413" t="s">
        <v>846</v>
      </c>
      <c r="C8" s="786">
        <f>SUM(C9:C11)</f>
        <v>321008474.30000001</v>
      </c>
      <c r="D8" s="468">
        <f t="shared" ref="D8:E8" si="0">SUM(D9:D11)</f>
        <v>0</v>
      </c>
      <c r="E8" s="468">
        <f t="shared" si="0"/>
        <v>321008474.30000001</v>
      </c>
    </row>
    <row r="9" spans="1:5">
      <c r="A9" s="467">
        <v>1.1000000000000001</v>
      </c>
      <c r="B9" s="414" t="s">
        <v>96</v>
      </c>
      <c r="C9" s="468">
        <v>91228953.689999998</v>
      </c>
      <c r="D9" s="468"/>
      <c r="E9" s="468">
        <f>C9-D9</f>
        <v>91228953.689999998</v>
      </c>
    </row>
    <row r="10" spans="1:5">
      <c r="A10" s="467">
        <v>1.2</v>
      </c>
      <c r="B10" s="414" t="s">
        <v>97</v>
      </c>
      <c r="C10" s="468">
        <v>147233398.18000001</v>
      </c>
      <c r="D10" s="468"/>
      <c r="E10" s="468">
        <f t="shared" ref="E10:E36" si="1">C10-D10</f>
        <v>147233398.18000001</v>
      </c>
    </row>
    <row r="11" spans="1:5">
      <c r="A11" s="467">
        <v>1.3</v>
      </c>
      <c r="B11" s="414" t="s">
        <v>98</v>
      </c>
      <c r="C11" s="468">
        <v>82546122.430000007</v>
      </c>
      <c r="D11" s="468"/>
      <c r="E11" s="468">
        <f t="shared" si="1"/>
        <v>82546122.430000007</v>
      </c>
    </row>
    <row r="12" spans="1:5">
      <c r="A12" s="467">
        <v>2</v>
      </c>
      <c r="B12" s="415" t="s">
        <v>733</v>
      </c>
      <c r="C12" s="468"/>
      <c r="D12" s="468"/>
      <c r="E12" s="468">
        <f t="shared" si="1"/>
        <v>0</v>
      </c>
    </row>
    <row r="13" spans="1:5">
      <c r="A13" s="467">
        <v>2.1</v>
      </c>
      <c r="B13" s="416" t="s">
        <v>734</v>
      </c>
      <c r="C13" s="468"/>
      <c r="D13" s="468"/>
      <c r="E13" s="468">
        <f t="shared" si="1"/>
        <v>0</v>
      </c>
    </row>
    <row r="14" spans="1:5" ht="34.049999999999997" customHeight="1">
      <c r="A14" s="467">
        <v>3</v>
      </c>
      <c r="B14" s="417" t="s">
        <v>735</v>
      </c>
      <c r="C14" s="468"/>
      <c r="D14" s="468"/>
      <c r="E14" s="468">
        <f t="shared" si="1"/>
        <v>0</v>
      </c>
    </row>
    <row r="15" spans="1:5" ht="32.549999999999997" customHeight="1">
      <c r="A15" s="467">
        <v>4</v>
      </c>
      <c r="B15" s="418" t="s">
        <v>736</v>
      </c>
      <c r="C15" s="468">
        <v>1821169.01</v>
      </c>
      <c r="D15" s="468"/>
      <c r="E15" s="468">
        <f t="shared" si="1"/>
        <v>1821169.01</v>
      </c>
    </row>
    <row r="16" spans="1:5" ht="22.95" customHeight="1">
      <c r="A16" s="467">
        <v>5</v>
      </c>
      <c r="B16" s="418" t="s">
        <v>737</v>
      </c>
      <c r="C16" s="468">
        <f>SUM(C17:C19)</f>
        <v>0</v>
      </c>
      <c r="D16" s="468">
        <f t="shared" ref="D16" si="2">SUM(D17:D19)</f>
        <v>0</v>
      </c>
      <c r="E16" s="468">
        <f t="shared" si="1"/>
        <v>0</v>
      </c>
    </row>
    <row r="17" spans="1:5">
      <c r="A17" s="467">
        <v>5.0999999999999996</v>
      </c>
      <c r="B17" s="419" t="s">
        <v>738</v>
      </c>
      <c r="C17" s="468"/>
      <c r="D17" s="468"/>
      <c r="E17" s="468">
        <f t="shared" si="1"/>
        <v>0</v>
      </c>
    </row>
    <row r="18" spans="1:5">
      <c r="A18" s="467">
        <v>5.2</v>
      </c>
      <c r="B18" s="419" t="s">
        <v>569</v>
      </c>
      <c r="C18" s="468"/>
      <c r="D18" s="468"/>
      <c r="E18" s="468">
        <f t="shared" si="1"/>
        <v>0</v>
      </c>
    </row>
    <row r="19" spans="1:5">
      <c r="A19" s="467">
        <v>5.3</v>
      </c>
      <c r="B19" s="419" t="s">
        <v>739</v>
      </c>
      <c r="C19" s="468"/>
      <c r="D19" s="468"/>
      <c r="E19" s="468">
        <f t="shared" si="1"/>
        <v>0</v>
      </c>
    </row>
    <row r="20" spans="1:5" ht="20.399999999999999">
      <c r="A20" s="467">
        <v>6</v>
      </c>
      <c r="B20" s="417" t="s">
        <v>740</v>
      </c>
      <c r="C20" s="786">
        <f>SUM(C21:C22)</f>
        <v>2034034569.9300001</v>
      </c>
      <c r="D20" s="468">
        <f t="shared" ref="D20" si="3">SUM(D21:D22)</f>
        <v>0</v>
      </c>
      <c r="E20" s="468">
        <f t="shared" si="1"/>
        <v>2034034569.9300001</v>
      </c>
    </row>
    <row r="21" spans="1:5">
      <c r="A21" s="467">
        <v>6.1</v>
      </c>
      <c r="B21" s="419" t="s">
        <v>569</v>
      </c>
      <c r="C21" s="469">
        <v>48888517.93</v>
      </c>
      <c r="D21" s="469"/>
      <c r="E21" s="468">
        <f t="shared" si="1"/>
        <v>48888517.93</v>
      </c>
    </row>
    <row r="22" spans="1:5">
      <c r="A22" s="467">
        <v>6.2</v>
      </c>
      <c r="B22" s="419" t="s">
        <v>739</v>
      </c>
      <c r="C22" s="469">
        <v>1985146052</v>
      </c>
      <c r="D22" s="469"/>
      <c r="E22" s="468">
        <f t="shared" si="1"/>
        <v>1985146052</v>
      </c>
    </row>
    <row r="23" spans="1:5" ht="20.399999999999999">
      <c r="A23" s="467">
        <v>7</v>
      </c>
      <c r="B23" s="420" t="s">
        <v>741</v>
      </c>
      <c r="C23" s="470"/>
      <c r="D23" s="470"/>
      <c r="E23" s="468">
        <f t="shared" si="1"/>
        <v>0</v>
      </c>
    </row>
    <row r="24" spans="1:5" ht="20.399999999999999">
      <c r="A24" s="467">
        <v>8</v>
      </c>
      <c r="B24" s="421" t="s">
        <v>742</v>
      </c>
      <c r="C24" s="470"/>
      <c r="D24" s="470"/>
      <c r="E24" s="468">
        <f t="shared" si="1"/>
        <v>0</v>
      </c>
    </row>
    <row r="25" spans="1:5">
      <c r="A25" s="467">
        <v>9</v>
      </c>
      <c r="B25" s="418" t="s">
        <v>743</v>
      </c>
      <c r="C25" s="470">
        <f>SUM(C26:C27)</f>
        <v>45907008.240000017</v>
      </c>
      <c r="D25" s="470">
        <f t="shared" ref="D25" si="4">SUM(D26:D27)</f>
        <v>0</v>
      </c>
      <c r="E25" s="468">
        <f t="shared" si="1"/>
        <v>45907008.240000017</v>
      </c>
    </row>
    <row r="26" spans="1:5">
      <c r="A26" s="467">
        <v>9.1</v>
      </c>
      <c r="B26" s="422" t="s">
        <v>744</v>
      </c>
      <c r="C26" s="470">
        <v>45907008.240000017</v>
      </c>
      <c r="D26" s="470"/>
      <c r="E26" s="468">
        <f t="shared" si="1"/>
        <v>45907008.240000017</v>
      </c>
    </row>
    <row r="27" spans="1:5">
      <c r="A27" s="467">
        <v>9.1999999999999993</v>
      </c>
      <c r="B27" s="422" t="s">
        <v>745</v>
      </c>
      <c r="C27" s="470"/>
      <c r="D27" s="470"/>
      <c r="E27" s="468">
        <f t="shared" si="1"/>
        <v>0</v>
      </c>
    </row>
    <row r="28" spans="1:5">
      <c r="A28" s="467">
        <v>10</v>
      </c>
      <c r="B28" s="418" t="s">
        <v>36</v>
      </c>
      <c r="C28" s="470">
        <f>SUM(C29:C30)</f>
        <v>19302841.93</v>
      </c>
      <c r="D28" s="470">
        <f t="shared" ref="D28" si="5">SUM(D29:D30)</f>
        <v>19302841.93</v>
      </c>
      <c r="E28" s="468">
        <f t="shared" si="1"/>
        <v>0</v>
      </c>
    </row>
    <row r="29" spans="1:5">
      <c r="A29" s="467">
        <v>10.1</v>
      </c>
      <c r="B29" s="422" t="s">
        <v>746</v>
      </c>
      <c r="C29" s="470"/>
      <c r="D29" s="470"/>
      <c r="E29" s="468">
        <f t="shared" si="1"/>
        <v>0</v>
      </c>
    </row>
    <row r="30" spans="1:5">
      <c r="A30" s="467">
        <v>10.199999999999999</v>
      </c>
      <c r="B30" s="422" t="s">
        <v>747</v>
      </c>
      <c r="C30" s="470">
        <v>19302841.93</v>
      </c>
      <c r="D30" s="470">
        <v>19302841.93</v>
      </c>
      <c r="E30" s="468">
        <f t="shared" si="1"/>
        <v>0</v>
      </c>
    </row>
    <row r="31" spans="1:5">
      <c r="A31" s="467">
        <v>11</v>
      </c>
      <c r="B31" s="418" t="s">
        <v>748</v>
      </c>
      <c r="C31" s="470">
        <f>SUM(C32:C33)</f>
        <v>0</v>
      </c>
      <c r="D31" s="470">
        <f t="shared" ref="D31" si="6">SUM(D32:D33)</f>
        <v>0</v>
      </c>
      <c r="E31" s="468">
        <f t="shared" si="1"/>
        <v>0</v>
      </c>
    </row>
    <row r="32" spans="1:5">
      <c r="A32" s="467">
        <v>11.1</v>
      </c>
      <c r="B32" s="422" t="s">
        <v>749</v>
      </c>
      <c r="C32" s="470"/>
      <c r="D32" s="470"/>
      <c r="E32" s="468">
        <f t="shared" si="1"/>
        <v>0</v>
      </c>
    </row>
    <row r="33" spans="1:7">
      <c r="A33" s="467">
        <v>11.2</v>
      </c>
      <c r="B33" s="422" t="s">
        <v>750</v>
      </c>
      <c r="C33" s="470"/>
      <c r="D33" s="470"/>
      <c r="E33" s="468">
        <f t="shared" si="1"/>
        <v>0</v>
      </c>
    </row>
    <row r="34" spans="1:7">
      <c r="A34" s="467">
        <v>13</v>
      </c>
      <c r="B34" s="418" t="s">
        <v>99</v>
      </c>
      <c r="C34" s="469">
        <v>43932456.220000014</v>
      </c>
      <c r="D34" s="469"/>
      <c r="E34" s="468">
        <f t="shared" si="1"/>
        <v>43932456.220000014</v>
      </c>
    </row>
    <row r="35" spans="1:7">
      <c r="A35" s="467">
        <v>13.1</v>
      </c>
      <c r="B35" s="423" t="s">
        <v>751</v>
      </c>
      <c r="C35" s="469">
        <v>13792672</v>
      </c>
      <c r="D35" s="469"/>
      <c r="E35" s="468">
        <f t="shared" si="1"/>
        <v>13792672</v>
      </c>
    </row>
    <row r="36" spans="1:7">
      <c r="A36" s="467">
        <v>13.2</v>
      </c>
      <c r="B36" s="423" t="s">
        <v>752</v>
      </c>
      <c r="C36" s="469"/>
      <c r="D36" s="469"/>
      <c r="E36" s="468">
        <f t="shared" si="1"/>
        <v>0</v>
      </c>
    </row>
    <row r="37" spans="1:7" ht="42" thickBot="1">
      <c r="A37" s="246"/>
      <c r="B37" s="247" t="s">
        <v>320</v>
      </c>
      <c r="C37" s="206">
        <f>SUM(C8,C12,C14,C15,C16,C20,C23,C24,C25,C28,C31,C34)</f>
        <v>2466006519.6300001</v>
      </c>
      <c r="D37" s="206">
        <f t="shared" ref="D37:E37" si="7">SUM(D8,D12,D14,D15,D16,D20,D23,D24,D25,D28,D31,D34)</f>
        <v>19302841.93</v>
      </c>
      <c r="E37" s="206">
        <f t="shared" si="7"/>
        <v>2446703677.7000003</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108</v>
      </c>
      <c r="B1" s="12" t="str">
        <f>Info!C2</f>
        <v>კრედო</v>
      </c>
    </row>
    <row r="2" spans="1:6" s="13" customFormat="1" ht="15.75" customHeight="1">
      <c r="A2" s="13" t="s">
        <v>109</v>
      </c>
      <c r="B2" s="346">
        <f>'1. key ratios'!B2</f>
        <v>45291</v>
      </c>
      <c r="C2"/>
      <c r="D2"/>
      <c r="E2"/>
      <c r="F2"/>
    </row>
    <row r="3" spans="1:6" s="13" customFormat="1" ht="15.75" customHeight="1">
      <c r="C3"/>
      <c r="D3"/>
      <c r="E3"/>
      <c r="F3"/>
    </row>
    <row r="4" spans="1:6" s="13" customFormat="1" ht="28.2" thickBot="1">
      <c r="A4" s="13" t="s">
        <v>256</v>
      </c>
      <c r="B4" s="132" t="s">
        <v>171</v>
      </c>
      <c r="C4" s="126" t="s">
        <v>87</v>
      </c>
      <c r="D4"/>
      <c r="E4"/>
      <c r="F4"/>
    </row>
    <row r="5" spans="1:6">
      <c r="A5" s="127">
        <v>1</v>
      </c>
      <c r="B5" s="128" t="s">
        <v>730</v>
      </c>
      <c r="C5" s="167">
        <f>'7. LI1'!E37</f>
        <v>2446703677.7000003</v>
      </c>
    </row>
    <row r="6" spans="1:6">
      <c r="A6" s="71">
        <v>2.1</v>
      </c>
      <c r="B6" s="134" t="s">
        <v>864</v>
      </c>
      <c r="C6" s="168">
        <v>56199564</v>
      </c>
    </row>
    <row r="7" spans="1:6" s="2" customFormat="1" ht="27.6" outlineLevel="1">
      <c r="A7" s="133">
        <v>2.2000000000000002</v>
      </c>
      <c r="B7" s="129" t="s">
        <v>865</v>
      </c>
      <c r="C7" s="169">
        <v>230946324.5</v>
      </c>
    </row>
    <row r="8" spans="1:6" s="2" customFormat="1" ht="27.6">
      <c r="A8" s="133">
        <v>3</v>
      </c>
      <c r="B8" s="130" t="s">
        <v>731</v>
      </c>
      <c r="C8" s="170">
        <f>SUM(C5:C7)</f>
        <v>2733849566.2000003</v>
      </c>
    </row>
    <row r="9" spans="1:6">
      <c r="A9" s="71">
        <v>4</v>
      </c>
      <c r="B9" s="137" t="s">
        <v>169</v>
      </c>
      <c r="C9" s="168"/>
    </row>
    <row r="10" spans="1:6" s="2" customFormat="1" ht="27.6" outlineLevel="1">
      <c r="A10" s="133">
        <v>5.0999999999999996</v>
      </c>
      <c r="B10" s="129" t="s">
        <v>175</v>
      </c>
      <c r="C10" s="169">
        <v>-28427648</v>
      </c>
    </row>
    <row r="11" spans="1:6" s="2" customFormat="1" ht="27.6" outlineLevel="1">
      <c r="A11" s="133">
        <v>5.2</v>
      </c>
      <c r="B11" s="129" t="s">
        <v>176</v>
      </c>
      <c r="C11" s="169">
        <v>-226327398.00999999</v>
      </c>
    </row>
    <row r="12" spans="1:6" s="2" customFormat="1">
      <c r="A12" s="133">
        <v>6</v>
      </c>
      <c r="B12" s="135" t="s">
        <v>438</v>
      </c>
      <c r="C12" s="169"/>
    </row>
    <row r="13" spans="1:6" s="2" customFormat="1" ht="15" thickBot="1">
      <c r="A13" s="136">
        <v>7</v>
      </c>
      <c r="B13" s="131" t="s">
        <v>170</v>
      </c>
      <c r="C13" s="171">
        <f>SUM(C8:C12)</f>
        <v>2479094520.1900005</v>
      </c>
    </row>
    <row r="15" spans="1:6" ht="27.6">
      <c r="B15" s="17" t="s">
        <v>439</v>
      </c>
      <c r="C15" s="729"/>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2024-01-24T07:58:21Z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