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1AA61B5B-33F4-4CBA-B096-F93F72002D5F}" xr6:coauthVersionLast="47" xr6:coauthVersionMax="47" xr10:uidLastSave="{00000000-0000-0000-0000-000000000000}"/>
  <bookViews>
    <workbookView xWindow="-108" yWindow="-108" windowWidth="23256" windowHeight="12576" tabRatio="919" activeTab="6"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90" l="1"/>
  <c r="M13" i="90"/>
  <c r="R13" i="120"/>
  <c r="C29" i="109"/>
  <c r="M20" i="120" l="1"/>
  <c r="H20" i="120"/>
  <c r="C20" i="120"/>
  <c r="M18" i="120"/>
  <c r="H18" i="120"/>
  <c r="C18" i="120"/>
  <c r="M17" i="120"/>
  <c r="H17" i="120"/>
  <c r="C17" i="120"/>
  <c r="M16" i="120"/>
  <c r="H16" i="120"/>
  <c r="C16" i="120"/>
  <c r="M15" i="120"/>
  <c r="H15" i="120"/>
  <c r="C15" i="120"/>
  <c r="M14" i="120"/>
  <c r="H14" i="120"/>
  <c r="C14" i="120"/>
  <c r="C13" i="120" s="1"/>
  <c r="R19" i="120"/>
  <c r="Q13" i="120"/>
  <c r="Q19" i="120" s="1"/>
  <c r="P13" i="120"/>
  <c r="P19" i="120" s="1"/>
  <c r="O13" i="120"/>
  <c r="O19" i="120" s="1"/>
  <c r="N13" i="120"/>
  <c r="L13" i="120"/>
  <c r="L19" i="120" s="1"/>
  <c r="K13" i="120"/>
  <c r="K19" i="120" s="1"/>
  <c r="J13" i="120"/>
  <c r="J19" i="120" s="1"/>
  <c r="I13" i="120"/>
  <c r="I19" i="120" s="1"/>
  <c r="G13" i="120"/>
  <c r="G19" i="120" s="1"/>
  <c r="F13" i="120"/>
  <c r="F19" i="120" s="1"/>
  <c r="E13" i="120"/>
  <c r="E19" i="120" s="1"/>
  <c r="D13" i="120"/>
  <c r="D19" i="120" s="1"/>
  <c r="M12" i="120"/>
  <c r="H12" i="120"/>
  <c r="C12" i="120"/>
  <c r="M11" i="120"/>
  <c r="H11" i="120"/>
  <c r="C11" i="120"/>
  <c r="M10" i="120"/>
  <c r="H10" i="120"/>
  <c r="C10" i="120"/>
  <c r="M9" i="120"/>
  <c r="H9" i="120"/>
  <c r="C9" i="120"/>
  <c r="M8" i="120"/>
  <c r="H8" i="120"/>
  <c r="C8" i="120"/>
  <c r="M7" i="120"/>
  <c r="H7" i="120"/>
  <c r="C7" i="120"/>
  <c r="L33" i="118"/>
  <c r="K33" i="118"/>
  <c r="J33" i="118"/>
  <c r="I33" i="118"/>
  <c r="H33" i="118" s="1"/>
  <c r="G33" i="118"/>
  <c r="F33" i="118"/>
  <c r="E33" i="118"/>
  <c r="D33" i="118"/>
  <c r="C33" i="118" s="1"/>
  <c r="H32" i="118"/>
  <c r="C32" i="118"/>
  <c r="H31" i="118"/>
  <c r="C31" i="118"/>
  <c r="H30" i="118"/>
  <c r="C30" i="118"/>
  <c r="H29" i="118"/>
  <c r="C29" i="118"/>
  <c r="H28" i="118"/>
  <c r="C28" i="118"/>
  <c r="H27" i="118"/>
  <c r="C27" i="118"/>
  <c r="H26" i="118"/>
  <c r="C26" i="118"/>
  <c r="H25" i="118"/>
  <c r="C25" i="118"/>
  <c r="H24" i="118"/>
  <c r="C24" i="118"/>
  <c r="H23" i="118"/>
  <c r="C23" i="118"/>
  <c r="H22" i="118"/>
  <c r="C22" i="118"/>
  <c r="H21" i="118"/>
  <c r="C21" i="118"/>
  <c r="H20" i="118"/>
  <c r="C20" i="118"/>
  <c r="H19" i="118"/>
  <c r="C19" i="118"/>
  <c r="H18" i="118"/>
  <c r="C18" i="118"/>
  <c r="H17" i="118"/>
  <c r="C17" i="118"/>
  <c r="H16" i="118"/>
  <c r="C16" i="118"/>
  <c r="H15" i="118"/>
  <c r="C15" i="118"/>
  <c r="H14" i="118"/>
  <c r="C14" i="118"/>
  <c r="H13" i="118"/>
  <c r="C13" i="118"/>
  <c r="H12" i="118"/>
  <c r="C12" i="118"/>
  <c r="H11" i="118"/>
  <c r="C11" i="118"/>
  <c r="H10" i="118"/>
  <c r="C10" i="118"/>
  <c r="H9" i="118"/>
  <c r="C9" i="118"/>
  <c r="H8" i="118"/>
  <c r="C8" i="118"/>
  <c r="H7" i="118"/>
  <c r="C7" i="118"/>
  <c r="C22" i="117"/>
  <c r="C21" i="117"/>
  <c r="C20" i="117"/>
  <c r="C19" i="117"/>
  <c r="C18" i="117"/>
  <c r="C17" i="117"/>
  <c r="C15" i="117"/>
  <c r="C14" i="117"/>
  <c r="C13" i="117"/>
  <c r="C12" i="117"/>
  <c r="C11" i="117"/>
  <c r="C10" i="117" s="1"/>
  <c r="AA10" i="117"/>
  <c r="Z10" i="117"/>
  <c r="Y10" i="117"/>
  <c r="X10" i="117"/>
  <c r="U10" i="117"/>
  <c r="T10" i="117"/>
  <c r="S10" i="117"/>
  <c r="R10" i="117"/>
  <c r="Q10" i="117"/>
  <c r="P10" i="117"/>
  <c r="O10" i="117"/>
  <c r="N10" i="117"/>
  <c r="M10" i="117"/>
  <c r="L10" i="117"/>
  <c r="K10" i="117"/>
  <c r="J10" i="117"/>
  <c r="I10" i="117"/>
  <c r="H10" i="117"/>
  <c r="G10" i="117"/>
  <c r="F10" i="117"/>
  <c r="E10" i="117"/>
  <c r="D10" i="117"/>
  <c r="C9" i="117"/>
  <c r="C8" i="117"/>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AA8" i="116"/>
  <c r="Z8" i="116"/>
  <c r="Y8" i="116"/>
  <c r="X8" i="116"/>
  <c r="W8" i="116"/>
  <c r="V8" i="116"/>
  <c r="U8" i="116"/>
  <c r="T8" i="116"/>
  <c r="S8" i="116"/>
  <c r="R8" i="116"/>
  <c r="Q8" i="116"/>
  <c r="P8" i="116"/>
  <c r="O8" i="116"/>
  <c r="N8" i="116"/>
  <c r="M8" i="116"/>
  <c r="L8" i="116"/>
  <c r="K8" i="116"/>
  <c r="J8" i="116"/>
  <c r="I8" i="116"/>
  <c r="H8" i="116"/>
  <c r="G8" i="116"/>
  <c r="F8" i="116"/>
  <c r="E8" i="116"/>
  <c r="C27" i="116"/>
  <c r="C22" i="116"/>
  <c r="C21" i="116"/>
  <c r="C20" i="116"/>
  <c r="C19" i="116"/>
  <c r="C18" i="116"/>
  <c r="C17" i="116"/>
  <c r="C16" i="116"/>
  <c r="D15" i="116"/>
  <c r="C15" i="116" s="1"/>
  <c r="C14" i="116"/>
  <c r="C13" i="116"/>
  <c r="C8" i="116" s="1"/>
  <c r="D8" i="116"/>
  <c r="C10" i="115"/>
  <c r="C18" i="115" s="1"/>
  <c r="C10" i="114"/>
  <c r="C7" i="114"/>
  <c r="E22" i="112"/>
  <c r="D22" i="112"/>
  <c r="C22" i="112"/>
  <c r="G21" i="112"/>
  <c r="F21" i="112"/>
  <c r="E21" i="112"/>
  <c r="D21" i="112"/>
  <c r="C21" i="112"/>
  <c r="G22" i="111"/>
  <c r="F22" i="111"/>
  <c r="E22" i="111"/>
  <c r="C22" i="111"/>
  <c r="H21" i="111"/>
  <c r="D22" i="111"/>
  <c r="H20" i="111"/>
  <c r="H19" i="111"/>
  <c r="H18" i="111"/>
  <c r="H17" i="111"/>
  <c r="H16" i="111"/>
  <c r="H15" i="111"/>
  <c r="H14" i="111"/>
  <c r="H13" i="111"/>
  <c r="H12" i="111"/>
  <c r="H11" i="111"/>
  <c r="H10" i="111"/>
  <c r="H9" i="111"/>
  <c r="H8" i="111"/>
  <c r="M13" i="120" l="1"/>
  <c r="M19" i="120"/>
  <c r="H13" i="120"/>
  <c r="H19" i="120" s="1"/>
  <c r="C19" i="120"/>
  <c r="C15" i="114"/>
  <c r="H22" i="111"/>
  <c r="N19" i="120"/>
  <c r="G36" i="97"/>
  <c r="G34" i="97"/>
  <c r="G31" i="97"/>
  <c r="G24" i="97"/>
  <c r="F24" i="97"/>
  <c r="E24" i="97"/>
  <c r="D24" i="97"/>
  <c r="C24" i="97"/>
  <c r="G16" i="97"/>
  <c r="G15" i="97"/>
  <c r="G13" i="97"/>
  <c r="G12" i="97"/>
  <c r="G10" i="97"/>
  <c r="G9" i="97"/>
  <c r="C8" i="95"/>
  <c r="C36" i="95" s="1"/>
  <c r="C12" i="95"/>
  <c r="J24" i="93"/>
  <c r="I24" i="93"/>
  <c r="K24" i="93" s="1"/>
  <c r="G24" i="93"/>
  <c r="F24" i="93"/>
  <c r="H24" i="93" s="1"/>
  <c r="J23" i="93"/>
  <c r="J25" i="93" s="1"/>
  <c r="I23" i="93"/>
  <c r="K23" i="93" s="1"/>
  <c r="K25" i="93" s="1"/>
  <c r="G23" i="93"/>
  <c r="G25" i="93" s="1"/>
  <c r="F23" i="93"/>
  <c r="H23" i="93" s="1"/>
  <c r="H25" i="93" s="1"/>
  <c r="J21" i="93"/>
  <c r="I21" i="93"/>
  <c r="G21" i="93"/>
  <c r="F21" i="93"/>
  <c r="D21" i="93"/>
  <c r="C21" i="93"/>
  <c r="K19" i="93"/>
  <c r="K21" i="93" s="1"/>
  <c r="H19" i="93"/>
  <c r="H21" i="93" s="1"/>
  <c r="E19" i="93"/>
  <c r="E21" i="93" s="1"/>
  <c r="J16" i="93"/>
  <c r="I16" i="93"/>
  <c r="G16" i="93"/>
  <c r="F16" i="93"/>
  <c r="D16" i="93"/>
  <c r="C16" i="93"/>
  <c r="K15" i="93"/>
  <c r="H15" i="93"/>
  <c r="E15" i="93"/>
  <c r="K14" i="93"/>
  <c r="H14" i="93"/>
  <c r="E14" i="93"/>
  <c r="K13" i="93"/>
  <c r="H13" i="93"/>
  <c r="E13" i="93"/>
  <c r="K12" i="93"/>
  <c r="H12" i="93"/>
  <c r="E12" i="93"/>
  <c r="K11" i="93"/>
  <c r="H11" i="93"/>
  <c r="E11" i="93"/>
  <c r="K10" i="93"/>
  <c r="K16" i="93" s="1"/>
  <c r="H10" i="93"/>
  <c r="H16" i="93" s="1"/>
  <c r="E10" i="93"/>
  <c r="E16" i="93" s="1"/>
  <c r="K8" i="93"/>
  <c r="H8" i="93"/>
  <c r="H9" i="91"/>
  <c r="H10" i="91"/>
  <c r="H11" i="91"/>
  <c r="H12" i="91"/>
  <c r="H13" i="91"/>
  <c r="H14" i="91"/>
  <c r="H15" i="91"/>
  <c r="H16" i="91"/>
  <c r="H17" i="91"/>
  <c r="H18" i="91"/>
  <c r="H19" i="91"/>
  <c r="H20" i="91"/>
  <c r="H21" i="91"/>
  <c r="H8" i="91"/>
  <c r="F25" i="93" l="1"/>
  <c r="I25" i="93"/>
  <c r="E36" i="88" l="1"/>
  <c r="E35" i="88"/>
  <c r="E34" i="88"/>
  <c r="E33" i="88"/>
  <c r="E32" i="88"/>
  <c r="E30" i="88"/>
  <c r="E29" i="88"/>
  <c r="E27" i="88"/>
  <c r="E26" i="88"/>
  <c r="E25" i="88"/>
  <c r="E24" i="88"/>
  <c r="E23" i="88"/>
  <c r="E22" i="88"/>
  <c r="E21" i="88"/>
  <c r="E19" i="88"/>
  <c r="E18" i="88"/>
  <c r="E17" i="88"/>
  <c r="E16" i="88"/>
  <c r="E15" i="88"/>
  <c r="E14" i="88"/>
  <c r="E13" i="88"/>
  <c r="E12" i="88"/>
  <c r="E11" i="88"/>
  <c r="E10" i="88"/>
  <c r="E9" i="88"/>
  <c r="E8" i="88" s="1"/>
  <c r="F17" i="110" l="1"/>
  <c r="G69" i="108"/>
  <c r="F69" i="108"/>
  <c r="C20" i="84" l="1"/>
  <c r="C19" i="84"/>
  <c r="C18" i="84"/>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D7" i="114" l="1"/>
  <c r="D10" i="114"/>
  <c r="D15"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H22" i="112"/>
  <c r="H23" i="112"/>
  <c r="H34" i="113" l="1"/>
  <c r="H21" i="112"/>
  <c r="C67" i="69"/>
  <c r="C62" i="69"/>
  <c r="C58" i="69"/>
  <c r="C40" i="69"/>
  <c r="C52" i="69" s="1"/>
  <c r="C29" i="69"/>
  <c r="C26" i="69"/>
  <c r="C23" i="69"/>
  <c r="C18" i="69"/>
  <c r="C14" i="69"/>
  <c r="C6" i="69"/>
  <c r="C35" i="69" s="1"/>
  <c r="D37" i="88"/>
  <c r="D8" i="88"/>
  <c r="D16" i="88"/>
  <c r="D20" i="88"/>
  <c r="D25" i="88"/>
  <c r="D28" i="88"/>
  <c r="D31" i="88"/>
  <c r="C31" i="88"/>
  <c r="E31" i="88" s="1"/>
  <c r="C28" i="88"/>
  <c r="C25" i="88"/>
  <c r="C20" i="88"/>
  <c r="E20" i="88" s="1"/>
  <c r="C16" i="88"/>
  <c r="C8" i="88"/>
  <c r="C37" i="88" l="1"/>
  <c r="E28" i="88"/>
  <c r="E37" i="88" s="1"/>
  <c r="C68" i="69"/>
  <c r="H43" i="110"/>
  <c r="E43" i="110"/>
  <c r="H42" i="110"/>
  <c r="E42" i="110"/>
  <c r="H41" i="110"/>
  <c r="E41" i="110"/>
  <c r="H40" i="110"/>
  <c r="E40" i="110"/>
  <c r="H39" i="110"/>
  <c r="E39" i="110"/>
  <c r="G38" i="110"/>
  <c r="F38" i="110"/>
  <c r="D38" i="110"/>
  <c r="C38" i="110"/>
  <c r="E38" i="110" s="1"/>
  <c r="H37" i="110"/>
  <c r="E37" i="110"/>
  <c r="H36" i="110"/>
  <c r="E36" i="110"/>
  <c r="H35" i="110"/>
  <c r="E35" i="110"/>
  <c r="H34" i="110"/>
  <c r="E34" i="110"/>
  <c r="H33" i="110"/>
  <c r="E33" i="110"/>
  <c r="H32" i="110"/>
  <c r="E32" i="110"/>
  <c r="H31" i="110"/>
  <c r="E31" i="110"/>
  <c r="G30" i="110"/>
  <c r="F30" i="110"/>
  <c r="D30" i="110"/>
  <c r="C30" i="110"/>
  <c r="E30" i="110" s="1"/>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4" i="110" s="1"/>
  <c r="H13" i="110"/>
  <c r="E13" i="110"/>
  <c r="H12" i="110"/>
  <c r="E12" i="110"/>
  <c r="G11" i="110"/>
  <c r="H11" i="110" s="1"/>
  <c r="F11" i="110"/>
  <c r="D11" i="110"/>
  <c r="E11" i="110" s="1"/>
  <c r="C11" i="110"/>
  <c r="H10" i="110"/>
  <c r="E10" i="110"/>
  <c r="H9" i="110"/>
  <c r="E9" i="110"/>
  <c r="G8" i="110"/>
  <c r="F8" i="110"/>
  <c r="D8" i="110"/>
  <c r="C8" i="110"/>
  <c r="E8" i="110" s="1"/>
  <c r="H7" i="110"/>
  <c r="E7" i="110"/>
  <c r="H6" i="110"/>
  <c r="E6" i="110"/>
  <c r="H44" i="109"/>
  <c r="E44" i="109"/>
  <c r="H42" i="109"/>
  <c r="E42" i="109"/>
  <c r="H41" i="109"/>
  <c r="E41" i="109"/>
  <c r="H40" i="109"/>
  <c r="E40" i="109"/>
  <c r="H39" i="109"/>
  <c r="E39" i="109"/>
  <c r="H38" i="109"/>
  <c r="E38" i="109"/>
  <c r="G37" i="109"/>
  <c r="F37" i="109"/>
  <c r="H37" i="109" s="1"/>
  <c r="D37" i="109"/>
  <c r="C37" i="109"/>
  <c r="H36" i="109"/>
  <c r="E36" i="109"/>
  <c r="H35" i="109"/>
  <c r="E35" i="109"/>
  <c r="G34" i="109"/>
  <c r="F34" i="109"/>
  <c r="H34" i="109" s="1"/>
  <c r="D34" i="109"/>
  <c r="C34" i="109"/>
  <c r="E34" i="109" s="1"/>
  <c r="H33" i="109"/>
  <c r="E33" i="109"/>
  <c r="H32" i="109"/>
  <c r="E32" i="109"/>
  <c r="H31" i="109"/>
  <c r="E31" i="109"/>
  <c r="H30" i="109"/>
  <c r="E30" i="109"/>
  <c r="G29" i="109"/>
  <c r="F29" i="109"/>
  <c r="H29" i="109" s="1"/>
  <c r="D29" i="109"/>
  <c r="E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E13" i="109" s="1"/>
  <c r="C13" i="109"/>
  <c r="H12" i="109"/>
  <c r="E12" i="109"/>
  <c r="H11" i="109"/>
  <c r="E11" i="109"/>
  <c r="H10" i="109"/>
  <c r="E10" i="109"/>
  <c r="H9" i="109"/>
  <c r="E9" i="109"/>
  <c r="H8" i="109"/>
  <c r="E8" i="109"/>
  <c r="H7" i="109"/>
  <c r="E7" i="109"/>
  <c r="G6" i="109"/>
  <c r="F6" i="109"/>
  <c r="F43" i="109" s="1"/>
  <c r="D6" i="109"/>
  <c r="E6" i="109" s="1"/>
  <c r="C6" i="109"/>
  <c r="C43" i="109" s="1"/>
  <c r="G68" i="108"/>
  <c r="F68" i="108"/>
  <c r="H69" i="108" s="1"/>
  <c r="H67" i="108"/>
  <c r="E67" i="108"/>
  <c r="H66" i="108"/>
  <c r="E66" i="108"/>
  <c r="H65" i="108"/>
  <c r="E65" i="108"/>
  <c r="H64" i="108"/>
  <c r="E64" i="108"/>
  <c r="H63" i="108"/>
  <c r="D63" i="108"/>
  <c r="C63" i="108"/>
  <c r="E63" i="108" s="1"/>
  <c r="H62" i="108"/>
  <c r="E62" i="108"/>
  <c r="H61" i="108"/>
  <c r="E61" i="108"/>
  <c r="H60" i="108"/>
  <c r="E60" i="108"/>
  <c r="H59" i="108"/>
  <c r="D59" i="108"/>
  <c r="D68" i="108" s="1"/>
  <c r="C59" i="108"/>
  <c r="C68" i="108" s="1"/>
  <c r="E68" i="108" s="1"/>
  <c r="H58" i="108"/>
  <c r="E58" i="108"/>
  <c r="H57" i="108"/>
  <c r="E57" i="108"/>
  <c r="H56" i="108"/>
  <c r="E56" i="108"/>
  <c r="H55" i="108"/>
  <c r="E55" i="108"/>
  <c r="H52" i="108"/>
  <c r="E52" i="108"/>
  <c r="H51" i="108"/>
  <c r="E51" i="108"/>
  <c r="H50" i="108"/>
  <c r="E50" i="108"/>
  <c r="H49" i="108"/>
  <c r="E49" i="108"/>
  <c r="H48" i="108"/>
  <c r="E48" i="108"/>
  <c r="G47" i="108"/>
  <c r="F47" i="108"/>
  <c r="D47" i="108"/>
  <c r="C47" i="108"/>
  <c r="E47" i="108" s="1"/>
  <c r="H46" i="108"/>
  <c r="E46" i="108"/>
  <c r="H45" i="108"/>
  <c r="E45" i="108"/>
  <c r="H44" i="108"/>
  <c r="E44" i="108"/>
  <c r="H43" i="108"/>
  <c r="E43" i="108"/>
  <c r="H42" i="108"/>
  <c r="E42" i="108"/>
  <c r="G41" i="108"/>
  <c r="F41" i="108"/>
  <c r="H41" i="108" s="1"/>
  <c r="D41" i="108"/>
  <c r="D53" i="108" s="1"/>
  <c r="C41" i="108"/>
  <c r="H40" i="108"/>
  <c r="E40" i="108"/>
  <c r="H39" i="108"/>
  <c r="E39" i="108"/>
  <c r="H38" i="108"/>
  <c r="E38" i="108"/>
  <c r="H35" i="108"/>
  <c r="E35" i="108"/>
  <c r="H34" i="108"/>
  <c r="E34" i="108"/>
  <c r="H33" i="108"/>
  <c r="E33" i="108"/>
  <c r="H32" i="108"/>
  <c r="E32" i="108"/>
  <c r="H31" i="108"/>
  <c r="E31" i="108"/>
  <c r="G30" i="108"/>
  <c r="F30" i="108"/>
  <c r="H30" i="108" s="1"/>
  <c r="D30" i="108"/>
  <c r="C30" i="108"/>
  <c r="E30" i="108" s="1"/>
  <c r="H29" i="108"/>
  <c r="E29" i="108"/>
  <c r="H28" i="108"/>
  <c r="E28" i="108"/>
  <c r="G27" i="108"/>
  <c r="G36" i="108" s="1"/>
  <c r="F27" i="108"/>
  <c r="H27" i="108" s="1"/>
  <c r="D27" i="108"/>
  <c r="C27" i="108"/>
  <c r="E27" i="108" s="1"/>
  <c r="H26" i="108"/>
  <c r="E26" i="108"/>
  <c r="H25" i="108"/>
  <c r="E25" i="108"/>
  <c r="G24" i="108"/>
  <c r="F24" i="108"/>
  <c r="D24" i="108"/>
  <c r="C24" i="108"/>
  <c r="E24" i="108" s="1"/>
  <c r="H23" i="108"/>
  <c r="E23" i="108"/>
  <c r="H22" i="108"/>
  <c r="E22" i="108"/>
  <c r="H21" i="108"/>
  <c r="E21" i="108"/>
  <c r="H20" i="108"/>
  <c r="E20" i="108"/>
  <c r="G19" i="108"/>
  <c r="F19" i="108"/>
  <c r="H19" i="108" s="1"/>
  <c r="D19" i="108"/>
  <c r="C19" i="108"/>
  <c r="E19" i="108" s="1"/>
  <c r="H18" i="108"/>
  <c r="E18" i="108"/>
  <c r="H17" i="108"/>
  <c r="E17" i="108"/>
  <c r="H16" i="108"/>
  <c r="E16" i="108"/>
  <c r="G15" i="108"/>
  <c r="F15" i="108"/>
  <c r="D15" i="108"/>
  <c r="C15" i="108"/>
  <c r="E15" i="108" s="1"/>
  <c r="H14" i="108"/>
  <c r="E14" i="108"/>
  <c r="H13" i="108"/>
  <c r="E13" i="108"/>
  <c r="H12" i="108"/>
  <c r="E12" i="108"/>
  <c r="H11" i="108"/>
  <c r="E11" i="108"/>
  <c r="H10" i="108"/>
  <c r="E10" i="108"/>
  <c r="H9" i="108"/>
  <c r="E9" i="108"/>
  <c r="H8" i="108"/>
  <c r="E8" i="108"/>
  <c r="G7" i="108"/>
  <c r="F7" i="108"/>
  <c r="H7" i="108" s="1"/>
  <c r="D7" i="108"/>
  <c r="C7" i="108"/>
  <c r="C53" i="108" l="1"/>
  <c r="C69" i="108" s="1"/>
  <c r="E7" i="108"/>
  <c r="H24" i="108"/>
  <c r="H8" i="110"/>
  <c r="H15" i="108"/>
  <c r="E37" i="109"/>
  <c r="H30" i="110"/>
  <c r="D36" i="108"/>
  <c r="E59" i="108"/>
  <c r="G43" i="109"/>
  <c r="G45" i="109" s="1"/>
  <c r="F36" i="108"/>
  <c r="H36" i="108" s="1"/>
  <c r="G53" i="108"/>
  <c r="C36" i="108"/>
  <c r="H47" i="108"/>
  <c r="H13" i="109"/>
  <c r="E14" i="110"/>
  <c r="H38" i="110"/>
  <c r="E17" i="110"/>
  <c r="F45" i="109"/>
  <c r="C45" i="109"/>
  <c r="H6" i="109"/>
  <c r="D43" i="109"/>
  <c r="D45" i="109" s="1"/>
  <c r="D69" i="108"/>
  <c r="H68" i="108"/>
  <c r="E41" i="108"/>
  <c r="F53" i="108"/>
  <c r="E53" i="108" l="1"/>
  <c r="E36" i="108"/>
  <c r="H45" i="109"/>
  <c r="H43" i="109"/>
  <c r="H53" i="108"/>
  <c r="E43" i="109"/>
  <c r="E45" i="109"/>
  <c r="E69" i="108"/>
  <c r="B1" i="97" l="1"/>
  <c r="G33" i="97"/>
  <c r="F33" i="97"/>
  <c r="E33" i="97"/>
  <c r="D33" i="97"/>
  <c r="C33" i="97"/>
  <c r="G37" i="97"/>
  <c r="G18" i="97"/>
  <c r="F18" i="97"/>
  <c r="E18" i="97"/>
  <c r="D18" i="97"/>
  <c r="C18" i="97"/>
  <c r="G14" i="97"/>
  <c r="F14" i="97"/>
  <c r="E14" i="97"/>
  <c r="D14" i="97"/>
  <c r="C14" i="97"/>
  <c r="G11" i="97"/>
  <c r="F11" i="97"/>
  <c r="E11" i="97"/>
  <c r="D11" i="97"/>
  <c r="C11" i="97"/>
  <c r="G8" i="97"/>
  <c r="F8" i="97"/>
  <c r="E8" i="97"/>
  <c r="D8" i="97"/>
  <c r="C8"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38" i="95" l="1"/>
  <c r="D6" i="86"/>
  <c r="D13" i="86" s="1"/>
  <c r="C6" i="86" l="1"/>
  <c r="C13" i="86" s="1"/>
  <c r="D21" i="94" l="1"/>
  <c r="D7" i="94"/>
  <c r="D20" i="94"/>
  <c r="D19" i="94"/>
  <c r="D9" i="94"/>
  <c r="D13" i="94"/>
  <c r="D15" i="94"/>
  <c r="D17" i="94"/>
  <c r="D8" i="94"/>
  <c r="D16" i="94"/>
  <c r="D12" i="94"/>
  <c r="D11" i="94"/>
  <c r="N20" i="92"/>
  <c r="N19" i="92"/>
  <c r="E19" i="92"/>
  <c r="N18" i="92"/>
  <c r="E18" i="92"/>
  <c r="N17" i="92"/>
  <c r="E17" i="92"/>
  <c r="N16" i="92"/>
  <c r="E16" i="92"/>
  <c r="N15" i="92"/>
  <c r="N14" i="92" s="1"/>
  <c r="E15" i="92"/>
  <c r="E14" i="92" s="1"/>
  <c r="M14" i="92"/>
  <c r="L14" i="92"/>
  <c r="K14" i="92"/>
  <c r="J14" i="92"/>
  <c r="I14" i="92"/>
  <c r="H14" i="92"/>
  <c r="G14" i="92"/>
  <c r="F14" i="92"/>
  <c r="C14" i="92"/>
  <c r="N13" i="92"/>
  <c r="N12" i="92"/>
  <c r="E12" i="92"/>
  <c r="N11" i="92"/>
  <c r="E11" i="92"/>
  <c r="N10" i="92"/>
  <c r="E10" i="92"/>
  <c r="N9" i="92"/>
  <c r="E9" i="92"/>
  <c r="N8" i="92"/>
  <c r="E8" i="92"/>
  <c r="E7" i="92" s="1"/>
  <c r="M7" i="92"/>
  <c r="L7" i="92"/>
  <c r="L21" i="92" s="1"/>
  <c r="K7" i="92"/>
  <c r="K21" i="92" s="1"/>
  <c r="J7" i="92"/>
  <c r="J21" i="92" s="1"/>
  <c r="I7" i="92"/>
  <c r="I21" i="92" s="1"/>
  <c r="H7" i="92"/>
  <c r="H21" i="92" s="1"/>
  <c r="G7" i="92"/>
  <c r="F7" i="92"/>
  <c r="C7" i="92"/>
  <c r="C21" i="92" l="1"/>
  <c r="E21" i="92"/>
  <c r="N21" i="92"/>
  <c r="M21" i="92"/>
  <c r="N7" i="92"/>
  <c r="F21" i="92"/>
  <c r="G21" i="92"/>
  <c r="S21" i="90"/>
  <c r="S20" i="90"/>
  <c r="S19" i="90"/>
  <c r="S18" i="90"/>
  <c r="S17" i="90"/>
  <c r="S16" i="90"/>
  <c r="S15" i="90"/>
  <c r="S14" i="90"/>
  <c r="S13" i="90"/>
  <c r="S12" i="90"/>
  <c r="S11" i="90"/>
  <c r="S10" i="90"/>
  <c r="S9" i="90"/>
  <c r="S8" i="90"/>
  <c r="T21" i="64" l="1"/>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4" i="89"/>
  <c r="C48"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<sst xmlns="http://schemas.openxmlformats.org/spreadsheetml/2006/main" count="1207" uniqueCount="753">
  <si>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</si>
  <si>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</si>
  <si>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</si>
  <si>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</si>
  <si>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</si>
  <si>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</si>
  <si>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</si>
  <si>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</si>
  <si>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</si>
  <si>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</si>
  <si>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</si>
  <si>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</si>
  <si>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</si>
  <si>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</si>
  <si>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</si>
  <si>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</si>
  <si>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</si>
  <si>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</si>
  <si>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</si>
  <si>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</si>
  <si>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</si>
  <si>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</si>
  <si>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</si>
  <si>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</si>
  <si>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</si>
  <si>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</si>
  <si>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</si>
  <si>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</si>
  <si>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</si>
  <si>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</si>
  <si>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</si>
  <si>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</si>
  <si>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</si>
  <si>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</si>
  <si>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</si>
  <si>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</si>
  <si>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</si>
  <si>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</si>
  <si>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</si>
  <si>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</si>
  <si>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</si>
  <si>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</si>
  <si>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</si>
  <si>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</si>
  <si>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</si>
  <si>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</si>
  <si>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</si>
  <si>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</si>
  <si>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</si>
  <si>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</si>
  <si>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</si>
  <si>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</si>
  <si>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</si>
  <si>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</si>
  <si>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</si>
  <si>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</si>
  <si>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</si>
  <si>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</si>
  <si>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</si>
  <si>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</si>
  <si>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</si>
  <si>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</si>
  <si>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</si>
  <si>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</si>
  <si>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</si>
  <si>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</si>
  <si>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</si>
  <si>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</si>
  <si>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</si>
  <si>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</si>
  <si>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</si>
  <si>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</si>
  <si>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</si>
  <si>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</si>
  <si>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</si>
  <si>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</si>
  <si>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</si>
  <si>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</si>
  <si>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</si>
  <si>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</si>
  <si>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</si>
  <si>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</si>
  <si>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</si>
  <si>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</si>
  <si>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</si>
  <si>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</si>
  <si>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</si>
  <si>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</si>
  <si>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</si>
  <si>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</si>
  <si>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</si>
  <si>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</si>
  <si>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</si>
  <si>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</si>
  <si>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</si>
  <si>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</si>
  <si>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</si>
  <si>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</si>
  <si>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</si>
  <si>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</si>
  <si>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</si>
  <si>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</si>
  <si>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</si>
  <si>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</si>
  <si>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</si>
  <si>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</si>
  <si>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</si>
  <si>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</si>
  <si>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</si>
  <si>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</si>
  <si>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</si>
  <si>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</si>
  <si>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</si>
  <si>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</si>
  <si>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</si>
  <si>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</si>
  <si>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</si>
  <si>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</si>
  <si>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</si>
  <si>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</si>
  <si>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</si>
  <si>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</si>
  <si>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</si>
  <si>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</si>
  <si>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</si>
  <si>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</si>
  <si>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</si>
  <si>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</si>
  <si>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</si>
  <si>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</si>
  <si>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</si>
  <si>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</si>
  <si>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</si>
  <si>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</si>
  <si>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</si>
  <si>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</si>
  <si>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</si>
  <si>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</si>
  <si>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</si>
  <si>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</si>
  <si>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</si>
  <si>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</si>
  <si>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</si>
  <si>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</si>
  <si>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</si>
  <si>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</si>
  <si>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</si>
  <si>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</si>
  <si>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</si>
  <si>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</si>
  <si>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</si>
  <si>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</si>
  <si>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</si>
  <si>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</si>
  <si>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</si>
  <si>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</si>
  <si>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</si>
  <si>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</si>
  <si>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</si>
  <si>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</si>
  <si>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</si>
  <si>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</si>
  <si>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</si>
  <si>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</si>
  <si>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</si>
  <si>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</si>
  <si>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</si>
  <si>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</si>
  <si>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</si>
  <si>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</si>
  <si>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</si>
  <si>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</si>
  <si>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</si>
  <si>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</si>
  <si>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</si>
  <si>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</si>
  <si>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</si>
  <si>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</si>
  <si>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</si>
  <si>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</si>
  <si>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</si>
  <si>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</si>
  <si>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</si>
  <si>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</si>
  <si>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</si>
  <si>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</si>
  <si>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</si>
  <si>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</si>
  <si>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</si>
  <si>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</si>
  <si>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</si>
  <si>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</si>
  <si>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</si>
  <si>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</si>
  <si>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</si>
  <si>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</si>
  <si>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</si>
  <si>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</si>
  <si>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</si>
  <si>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</si>
  <si>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</si>
  <si>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</si>
  <si>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</si>
  <si>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</si>
  <si>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</si>
  <si>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</si>
  <si>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</si>
  <si>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</si>
  <si>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</si>
  <si>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</si>
  <si>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</si>
  <si>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</si>
  <si>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</si>
  <si>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</si>
  <si>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</si>
  <si>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</si>
  <si>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</si>
  <si>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</si>
  <si>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</si>
  <si>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</si>
  <si>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</si>
  <si>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</si>
  <si>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</si>
  <si>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</si>
  <si>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</si>
  <si>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</si>
  <si>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</si>
  <si>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</si>
  <si>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</si>
  <si>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</si>
  <si>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</si>
  <si>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</si>
  <si>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</si>
  <si>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</si>
  <si>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</si>
  <si>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</si>
  <si>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</si>
  <si>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</si>
  <si>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</si>
  <si>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</si>
  <si>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</si>
  <si>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</si>
  <si>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</si>
  <si>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</si>
  <si>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</si>
  <si>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</si>
  <si>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</si>
  <si>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</si>
  <si>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</si>
  <si>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</si>
  <si>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</si>
  <si>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</si>
  <si>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</si>
  <si>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</si>
  <si>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</si>
  <si>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</si>
  <si>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</si>
  <si>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</si>
  <si>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</si>
  <si>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</si>
  <si>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</si>
  <si>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</si>
  <si>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</si>
  <si>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</si>
  <si>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</si>
  <si>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</si>
  <si>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</si>
  <si>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</si>
  <si>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</si>
  <si>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</si>
  <si>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</si>
  <si>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</si>
  <si>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</si>
  <si>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</si>
  <si>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</si>
  <si>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</si>
  <si>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</si>
  <si>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</si>
  <si>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</si>
  <si>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</si>
  <si>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</si>
  <si>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</si>
  <si>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</si>
  <si>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</si>
  <si>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</si>
  <si>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</si>
  <si>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</si>
  <si>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</si>
  <si>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</si>
  <si>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</si>
  <si>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</si>
  <si>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</si>
  <si>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</si>
  <si>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</si>
  <si>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</si>
  <si>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</si>
  <si>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</si>
  <si>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</si>
  <si>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</si>
  <si>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</si>
  <si>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</si>
  <si>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</si>
  <si>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</si>
  <si>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</si>
  <si>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</si>
  <si>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</si>
  <si>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</si>
  <si>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</si>
  <si>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</si>
  <si>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</si>
  <si>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</si>
  <si>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</si>
  <si>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</si>
  <si>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</si>
  <si>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</si>
  <si>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</si>
  <si>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</si>
  <si>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</si>
  <si>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</si>
  <si>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</si>
  <si>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</si>
  <si>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</si>
  <si>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</si>
  <si>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</si>
  <si>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</si>
  <si>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</si>
  <si>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</si>
  <si>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</si>
  <si>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</si>
  <si>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</si>
  <si>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</si>
  <si>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</si>
  <si>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</si>
  <si>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</si>
  <si>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</si>
  <si>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</si>
  <si>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</si>
  <si>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</si>
  <si>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</si>
  <si>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</si>
  <si>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</si>
  <si>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</si>
  <si>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</si>
  <si>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</si>
  <si>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</si>
  <si>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</si>
  <si>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</si>
  <si>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</si>
  <si>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</si>
  <si>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</si>
  <si>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</si>
  <si>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</si>
  <si>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</si>
  <si>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</si>
  <si>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</si>
  <si>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</si>
  <si>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</si>
  <si>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</si>
  <si>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</si>
  <si>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</si>
  <si>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</si>
  <si>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</si>
  <si>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</si>
  <si>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</si>
  <si>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</si>
  <si>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</si>
  <si>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</si>
  <si>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</si>
  <si>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</si>
  <si>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</si>
  <si>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</si>
  <si>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</si>
  <si>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</si>
  <si>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</si>
  <si>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</si>
  <si>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</si>
  <si>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</si>
  <si>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</si>
  <si>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</si>
  <si>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</si>
  <si>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</si>
  <si>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</si>
  <si>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</si>
  <si>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</si>
  <si>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</si>
  <si>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</si>
  <si>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</si>
  <si>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</si>
  <si>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</si>
  <si>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</si>
  <si>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</si>
  <si>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</si>
  <si>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</si>
  <si>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</si>
  <si>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</si>
  <si>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</si>
  <si>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</si>
  <si>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</si>
  <si>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</si>
  <si>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</si>
  <si>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</si>
  <si>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</si>
  <si>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</si>
  <si>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</si>
  <si>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</si>
  <si>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</si>
  <si>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</si>
  <si>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</si>
  <si>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</si>
  <si>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</si>
  <si>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</si>
  <si>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</si>
  <si>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</si>
  <si>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</si>
  <si>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</si>
  <si>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</si>
  <si>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</si>
  <si>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</si>
  <si>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</si>
  <si>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</si>
  <si>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</si>
  <si>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</si>
  <si>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</si>
  <si>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</si>
  <si>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</si>
  <si>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</si>
  <si>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</si>
  <si>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</si>
  <si>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</si>
  <si>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</si>
  <si>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</si>
  <si>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</si>
  <si>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</si>
  <si>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</si>
  <si>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</si>
  <si>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</si>
  <si>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</si>
  <si>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</si>
  <si>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</si>
  <si>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</si>
  <si>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</si>
  <si>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</si>
  <si>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</si>
  <si>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</si>
  <si>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</si>
  <si>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</si>
  <si>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</si>
  <si>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</si>
  <si>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</si>
  <si>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</si>
  <si>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</si>
  <si>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</si>
  <si>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</si>
  <si>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</si>
  <si>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</si>
  <si>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</si>
  <si>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</si>
  <si>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</si>
  <si>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</si>
  <si>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</si>
  <si>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</si>
  <si>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</si>
  <si>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</si>
  <si>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</si>
  <si>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</si>
  <si>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</si>
  <si>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</si>
  <si>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</si>
  <si>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</si>
  <si>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</si>
  <si>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</si>
  <si>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</si>
  <si>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</si>
  <si>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</si>
  <si>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</si>
  <si>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</si>
  <si>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</si>
  <si>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</si>
  <si>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</si>
  <si>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</si>
  <si>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</si>
  <si>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</si>
  <si>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</si>
  <si>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</si>
  <si>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</si>
  <si>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</si>
  <si>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</si>
  <si>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</si>
  <si>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</si>
  <si>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</si>
  <si>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</si>
  <si>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</si>
  <si>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</si>
  <si>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</si>
  <si>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</si>
  <si>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</si>
  <si>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</si>
  <si>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</si>
  <si>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</si>
  <si>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</si>
  <si>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</si>
  <si>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</si>
  <si>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</si>
  <si>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</si>
  <si>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</si>
  <si>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</si>
  <si>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</si>
  <si>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</si>
  <si>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</si>
  <si>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</si>
  <si>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</si>
  <si>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</si>
  <si>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</si>
  <si>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</si>
  <si>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</si>
  <si>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</si>
  <si>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</si>
  <si>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</si>
  <si>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</si>
  <si>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</si>
  <si>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</si>
  <si>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</si>
  <si>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</si>
  <si>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</si>
  <si>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</si>
  <si>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</si>
  <si>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</si>
  <si>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</si>
  <si>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</si>
  <si>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</si>
  <si>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</si>
  <si>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</si>
  <si>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</si>
  <si>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</si>
  <si>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</si>
  <si>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</si>
  <si>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</si>
  <si>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</si>
  <si>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</si>
  <si>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</si>
  <si>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</si>
  <si>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</si>
  <si>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</si>
  <si>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</si>
  <si>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</si>
  <si>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</si>
  <si>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</si>
  <si>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</si>
  <si>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</si>
  <si>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</si>
  <si>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</si>
  <si>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</si>
  <si>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</si>
  <si>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</si>
  <si>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</si>
  <si>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</si>
  <si>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</si>
  <si>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</si>
  <si>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</si>
  <si>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</si>
  <si>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</si>
  <si>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</si>
  <si>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</si>
  <si>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</si>
  <si>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</si>
  <si>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</si>
  <si>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</si>
  <si>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</si>
  <si>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</si>
  <si>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</si>
  <si>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</si>
  <si>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</si>
  <si>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</si>
  <si>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</si>
  <si>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</si>
  <si>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</si>
  <si>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</si>
  <si>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</si>
  <si>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</si>
  <si>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</si>
  <si>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</si>
  <si>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</si>
  <si>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</si>
  <si>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</si>
  <si>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</si>
  <si>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</si>
  <si>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</si>
  <si>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</si>
  <si>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</si>
  <si>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</si>
  <si>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</si>
  <si>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</si>
  <si>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</si>
  <si>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</si>
  <si>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</si>
  <si>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</si>
  <si>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</si>
  <si>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</si>
  <si>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</si>
  <si>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</si>
  <si>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</si>
  <si>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</si>
  <si>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</si>
  <si>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</si>
  <si>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</si>
  <si>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</si>
  <si>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</si>
  <si>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</si>
  <si>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</si>
  <si>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</si>
  <si>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</si>
  <si>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</si>
  <si>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</si>
  <si>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</si>
  <si>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</si>
  <si>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</si>
  <si>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</si>
  <si>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</si>
  <si>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</si>
  <si>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</si>
  <si>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</si>
  <si>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</si>
  <si>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</si>
  <si>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</si>
  <si>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</si>
  <si>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</si>
  <si>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</si>
  <si>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</si>
  <si>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</si>
  <si>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</si>
  <si>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</si>
  <si>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</si>
  <si>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</si>
  <si>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</si>
  <si>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</si>
  <si>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</si>
  <si>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</si>
  <si>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</si>
  <si>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</si>
  <si>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</si>
  <si>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</si>
  <si>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</si>
  <si>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</si>
  <si>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</si>
  <si>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</si>
  <si>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</si>
  <si>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</si>
  <si>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</si>
  <si>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</si>
  <si>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</si>
  <si>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</si>
  <si>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</si>
  <si>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</si>
  <si>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</si>
  <si>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</si>
  <si>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</si>
  <si>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</si>
  <si>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</si>
  <si>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</si>
  <si>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</si>
  <si>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</si>
  <si>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</si>
  <si>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</si>
  <si>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</si>
  <si>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</si>
  <si>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</si>
  <si>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</si>
  <si>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</si>
  <si>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</si>
  <si>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</si>
  <si>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</si>
  <si>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</si>
  <si>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</si>
  <si>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</si>
  <si>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</si>
  <si>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</si>
  <si>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</si>
  <si>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</si>
  <si>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</si>
  <si>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</si>
  <si>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</si>
  <si>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</si>
  <si>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</si>
  <si>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</si>
  <si>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</si>
  <si>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</si>
  <si>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</si>
  <si>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</si>
  <si>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</si>
  <si>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</si>
  <si>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</si>
  <si>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</si>
  <si>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</si>
  <si>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</si>
  <si>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</si>
  <si>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</si>
  <si>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</si>
  <si>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</si>
  <si>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</si>
  <si>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</si>
  <si>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</si>
  <si>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</si>
  <si>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</si>
  <si>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</si>
  <si>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</si>
  <si>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</si>
  <si>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</si>
  <si>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</si>
  <si>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</si>
  <si>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</si>
  <si>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</si>
  <si>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</si>
  <si>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JSC "CREDOBANK"</t>
  </si>
  <si>
    <t>Thomas Engelhardt</t>
  </si>
  <si>
    <t>Zaal Pirtskhelava</t>
  </si>
  <si>
    <t>www.credo.ge</t>
  </si>
  <si>
    <t>Thomas Engelhardt (Germany)</t>
  </si>
  <si>
    <t>Non-independent chair</t>
  </si>
  <si>
    <t>Farah, Katia Chams (Netherlands)</t>
  </si>
  <si>
    <t>Non-independent member</t>
  </si>
  <si>
    <t>Paul-Catalin Panciu (Romania)</t>
  </si>
  <si>
    <t>Independent member</t>
  </si>
  <si>
    <t>Johannes Mainhardt (Germany)</t>
  </si>
  <si>
    <t>Andrew Pospielovsky (Great Britain)</t>
  </si>
  <si>
    <t>Senior Independent member</t>
  </si>
  <si>
    <t>Olga Tomash (Ukraine)</t>
  </si>
  <si>
    <t>Chief Executive Officer</t>
  </si>
  <si>
    <t>Erekle Zatiashvili</t>
  </si>
  <si>
    <t>CFO</t>
  </si>
  <si>
    <t>Zaza Tkeshelashvili</t>
  </si>
  <si>
    <t>Chief Credit Officer</t>
  </si>
  <si>
    <t>Nikoloz Kutateladze</t>
  </si>
  <si>
    <t>Chief Commercial Officer</t>
  </si>
  <si>
    <t>Alexander Kumsiashvili</t>
  </si>
  <si>
    <t>CIO</t>
  </si>
  <si>
    <t>George Nadareishvili</t>
  </si>
  <si>
    <t>CRO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</si>
  <si>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</si>
  <si>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</si>
  <si>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</si>
  <si>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</si>
  <si>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</si>
  <si>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</si>
  <si>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</si>
  <si>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</si>
  <si>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</si>
  <si>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</si>
  <si>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</si>
  <si>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</si>
  <si>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</si>
  <si>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</si>
  <si>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</si>
  <si>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 xml:space="preserve">Table 9 (Capital), C10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</si>
</sst>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 numFmtId="195" formatCode="_-* #,##0_-;\-* #,##0_-;_-* &quot;-&quot;??_-;_-@_-"/>
    <numFmt numFmtId="196" formatCode="_(* #,##0.0000000_);_(* \(#,##0.0000000\);_(* &quot;-&quot;??_);_(@_)"/>
  </numFmts>
  <fonts count="14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10"/>
      <name val="Geo_Arial"/>
      <family val="2"/>
    </font>
    <font>
      <sz val="10"/>
      <color rgb="FFFF0000"/>
      <name val="Arial"/>
      <family val="2"/>
    </font>
    <font>
      <sz val="11"/>
      <name val="Sylfaen"/>
      <family val="1"/>
    </font>
    <font>
      <b/>
      <sz val="9"/>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26">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9"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2" fillId="0" borderId="20" xfId="0" applyFont="1" applyBorder="1" applyAlignment="1">
      <alignment wrapText="1"/>
    </xf>
    <xf numFmtId="0" fontId="2" fillId="0" borderId="24" xfId="0" applyFont="1" applyBorder="1" applyAlignment="1">
      <alignment wrapText="1"/>
    </xf>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9"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3" fontId="2" fillId="36" borderId="23"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93" fontId="88" fillId="0" borderId="12" xfId="0" applyNumberFormat="1" applyFont="1" applyBorder="1" applyAlignment="1">
      <alignment vertic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8" xfId="0" applyNumberFormat="1" applyFont="1" applyBorder="1"/>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0" borderId="3" xfId="0" applyNumberFormat="1" applyFont="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80" xfId="0" applyFont="1" applyBorder="1" applyAlignment="1">
      <alignment vertical="center"/>
    </xf>
    <xf numFmtId="0" fontId="3" fillId="0" borderId="81"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6" xfId="0" applyFont="1" applyBorder="1" applyAlignment="1">
      <alignment horizontal="center" vertical="center"/>
    </xf>
    <xf numFmtId="0" fontId="3" fillId="0" borderId="87" xfId="0" applyFont="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Border="1" applyAlignment="1">
      <alignment horizontal="center" vertical="center"/>
    </xf>
    <xf numFmtId="0" fontId="3" fillId="0" borderId="91"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4" fillId="36" borderId="8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7" xfId="20964" applyFont="1" applyFill="1" applyBorder="1">
      <alignment vertical="center"/>
    </xf>
    <xf numFmtId="0" fontId="45" fillId="76" borderId="98" xfId="20964" applyFont="1" applyFill="1" applyBorder="1">
      <alignment vertical="center"/>
    </xf>
    <xf numFmtId="0" fontId="45" fillId="76" borderId="95" xfId="20964" applyFont="1" applyFill="1" applyBorder="1">
      <alignment vertical="center"/>
    </xf>
    <xf numFmtId="0" fontId="106" fillId="70" borderId="94" xfId="20964" applyFont="1" applyFill="1" applyBorder="1" applyAlignment="1">
      <alignment horizontal="center" vertical="center"/>
    </xf>
    <xf numFmtId="0" fontId="106" fillId="70" borderId="95" xfId="20964" applyFont="1" applyFill="1" applyBorder="1" applyAlignment="1">
      <alignment horizontal="left" vertical="center" wrapText="1"/>
    </xf>
    <xf numFmtId="164" fontId="106" fillId="0" borderId="96" xfId="7" applyNumberFormat="1" applyFont="1" applyFill="1" applyBorder="1" applyAlignment="1" applyProtection="1">
      <alignment horizontal="right" vertical="center"/>
      <protection locked="0"/>
    </xf>
    <xf numFmtId="0" fontId="105" fillId="77" borderId="96" xfId="20964" applyFont="1" applyFill="1" applyBorder="1" applyAlignment="1">
      <alignment horizontal="center" vertical="center"/>
    </xf>
    <xf numFmtId="0" fontId="105" fillId="77" borderId="98" xfId="20964" applyFont="1" applyFill="1" applyBorder="1" applyAlignment="1">
      <alignment vertical="top" wrapText="1"/>
    </xf>
    <xf numFmtId="164" fontId="45" fillId="76" borderId="95" xfId="7" applyNumberFormat="1" applyFont="1" applyFill="1" applyBorder="1" applyAlignment="1">
      <alignment horizontal="right" vertical="center"/>
    </xf>
    <xf numFmtId="0" fontId="107" fillId="70" borderId="94" xfId="20964" applyFont="1" applyFill="1" applyBorder="1" applyAlignment="1">
      <alignment horizontal="center" vertical="center"/>
    </xf>
    <xf numFmtId="0" fontId="106" fillId="70" borderId="98" xfId="20964" applyFont="1" applyFill="1" applyBorder="1" applyAlignment="1">
      <alignment vertical="center" wrapText="1"/>
    </xf>
    <xf numFmtId="0" fontId="106" fillId="70" borderId="95" xfId="20964" applyFont="1" applyFill="1" applyBorder="1" applyAlignment="1">
      <alignment horizontal="left" vertical="center"/>
    </xf>
    <xf numFmtId="0" fontId="107" fillId="3" borderId="94" xfId="20964" applyFont="1" applyFill="1" applyBorder="1" applyAlignment="1">
      <alignment horizontal="center" vertical="center"/>
    </xf>
    <xf numFmtId="0" fontId="106" fillId="3" borderId="95" xfId="20964" applyFont="1" applyFill="1" applyBorder="1" applyAlignment="1">
      <alignment horizontal="left" vertical="center"/>
    </xf>
    <xf numFmtId="0" fontId="107" fillId="0" borderId="94" xfId="20964" applyFont="1" applyBorder="1" applyAlignment="1">
      <alignment horizontal="center" vertical="center"/>
    </xf>
    <xf numFmtId="0" fontId="106" fillId="0" borderId="95" xfId="20964" applyFont="1" applyBorder="1" applyAlignment="1">
      <alignment horizontal="left" vertical="center"/>
    </xf>
    <xf numFmtId="0" fontId="108" fillId="77" borderId="96" xfId="20964" applyFont="1" applyFill="1" applyBorder="1" applyAlignment="1">
      <alignment horizontal="center" vertical="center"/>
    </xf>
    <xf numFmtId="0" fontId="105" fillId="77" borderId="98" xfId="20964" applyFont="1" applyFill="1" applyBorder="1">
      <alignment vertical="center"/>
    </xf>
    <xf numFmtId="164" fontId="106" fillId="77" borderId="96" xfId="7" applyNumberFormat="1" applyFont="1" applyFill="1" applyBorder="1" applyAlignment="1" applyProtection="1">
      <alignment horizontal="right" vertical="center"/>
      <protection locked="0"/>
    </xf>
    <xf numFmtId="0" fontId="105" fillId="76" borderId="97" xfId="20964" applyFont="1" applyFill="1" applyBorder="1">
      <alignment vertical="center"/>
    </xf>
    <xf numFmtId="0" fontId="105" fillId="76" borderId="98" xfId="20964" applyFont="1" applyFill="1" applyBorder="1">
      <alignment vertical="center"/>
    </xf>
    <xf numFmtId="164" fontId="105" fillId="76" borderId="95" xfId="7" applyNumberFormat="1" applyFont="1" applyFill="1" applyBorder="1" applyAlignment="1">
      <alignment horizontal="right" vertical="center"/>
    </xf>
    <xf numFmtId="0" fontId="110" fillId="3" borderId="94" xfId="20964" applyFont="1" applyFill="1" applyBorder="1" applyAlignment="1">
      <alignment horizontal="center" vertical="center"/>
    </xf>
    <xf numFmtId="0" fontId="111" fillId="77" borderId="96" xfId="20964" applyFont="1" applyFill="1" applyBorder="1" applyAlignment="1">
      <alignment horizontal="center" vertical="center"/>
    </xf>
    <xf numFmtId="0" fontId="45" fillId="77" borderId="98" xfId="20964" applyFont="1" applyFill="1" applyBorder="1">
      <alignment vertical="center"/>
    </xf>
    <xf numFmtId="0" fontId="110" fillId="70" borderId="94" xfId="20964" applyFont="1" applyFill="1" applyBorder="1" applyAlignment="1">
      <alignment horizontal="center" vertical="center"/>
    </xf>
    <xf numFmtId="164" fontId="106" fillId="3" borderId="96" xfId="7" applyNumberFormat="1" applyFont="1" applyFill="1" applyBorder="1" applyAlignment="1" applyProtection="1">
      <alignment horizontal="right" vertical="center"/>
      <protection locked="0"/>
    </xf>
    <xf numFmtId="0" fontId="111" fillId="3" borderId="96" xfId="20964" applyFont="1" applyFill="1" applyBorder="1" applyAlignment="1">
      <alignment horizontal="center" vertical="center"/>
    </xf>
    <xf numFmtId="0" fontId="45" fillId="3" borderId="98" xfId="20964" applyFont="1" applyFill="1" applyBorder="1">
      <alignment vertical="center"/>
    </xf>
    <xf numFmtId="0" fontId="107" fillId="70" borderId="96" xfId="20964" applyFont="1" applyFill="1" applyBorder="1" applyAlignment="1">
      <alignment horizontal="center" vertical="center"/>
    </xf>
    <xf numFmtId="0" fontId="19" fillId="70" borderId="96" xfId="20964" applyFont="1" applyFill="1" applyBorder="1" applyAlignment="1">
      <alignment horizontal="center" vertical="center"/>
    </xf>
    <xf numFmtId="0" fontId="101" fillId="0" borderId="96" xfId="0" applyFont="1" applyBorder="1" applyAlignment="1">
      <alignment horizontal="left" vertical="center" wrapText="1"/>
    </xf>
    <xf numFmtId="10" fontId="97" fillId="0" borderId="96" xfId="20962" applyNumberFormat="1" applyFont="1" applyFill="1" applyBorder="1" applyAlignment="1">
      <alignment horizontal="left" vertical="center" wrapText="1"/>
    </xf>
    <xf numFmtId="10" fontId="3" fillId="0"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left" vertical="center" wrapText="1"/>
    </xf>
    <xf numFmtId="10" fontId="101" fillId="0" borderId="96" xfId="20962" applyNumberFormat="1" applyFont="1" applyFill="1" applyBorder="1" applyAlignment="1">
      <alignment horizontal="left" vertical="center" wrapText="1"/>
    </xf>
    <xf numFmtId="10" fontId="4" fillId="36"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6" xfId="0" applyFont="1" applyFill="1" applyBorder="1" applyAlignment="1">
      <alignment horizontal="left" vertical="center" wrapText="1"/>
    </xf>
    <xf numFmtId="0" fontId="3" fillId="0" borderId="96" xfId="0" applyFont="1" applyBorder="1" applyAlignment="1">
      <alignment horizontal="left" vertical="center" wrapText="1"/>
    </xf>
    <xf numFmtId="0" fontId="4" fillId="36" borderId="82" xfId="0" applyFont="1" applyFill="1" applyBorder="1" applyAlignment="1">
      <alignment vertical="center" wrapText="1"/>
    </xf>
    <xf numFmtId="0" fontId="4" fillId="36" borderId="95"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6" xfId="0" applyFont="1" applyBorder="1"/>
    <xf numFmtId="0" fontId="6" fillId="0" borderId="96" xfId="17" applyFill="1" applyBorder="1" applyAlignment="1" applyProtection="1">
      <alignment horizontal="left" vertical="center"/>
    </xf>
    <xf numFmtId="0" fontId="6" fillId="0" borderId="96" xfId="17" applyBorder="1" applyAlignment="1" applyProtection="1"/>
    <xf numFmtId="0" fontId="6" fillId="0" borderId="96" xfId="17" applyFill="1" applyBorder="1" applyAlignment="1" applyProtection="1">
      <alignment horizontal="left" vertical="center" wrapText="1"/>
    </xf>
    <xf numFmtId="0" fontId="6" fillId="0" borderId="96"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4" fillId="36" borderId="96" xfId="0" applyNumberFormat="1" applyFont="1" applyFill="1" applyBorder="1" applyAlignment="1">
      <alignment vertical="center" wrapText="1"/>
    </xf>
    <xf numFmtId="3" fontId="104" fillId="0" borderId="96" xfId="0" applyNumberFormat="1" applyFont="1" applyBorder="1" applyAlignment="1">
      <alignment vertical="center" wrapText="1"/>
    </xf>
    <xf numFmtId="3" fontId="104" fillId="36" borderId="97" xfId="0" applyNumberFormat="1" applyFont="1" applyFill="1" applyBorder="1" applyAlignment="1">
      <alignment vertical="center" wrapText="1"/>
    </xf>
    <xf numFmtId="3" fontId="104" fillId="0" borderId="97" xfId="0" applyNumberFormat="1" applyFont="1" applyBorder="1" applyAlignment="1">
      <alignment vertical="center" wrapText="1"/>
    </xf>
    <xf numFmtId="3" fontId="104" fillId="36" borderId="24" xfId="0" applyNumberFormat="1" applyFont="1" applyFill="1" applyBorder="1" applyAlignment="1">
      <alignment vertical="center" wrapText="1"/>
    </xf>
    <xf numFmtId="3" fontId="104" fillId="36" borderId="84" xfId="0" applyNumberFormat="1" applyFont="1" applyFill="1" applyBorder="1" applyAlignment="1">
      <alignment vertical="center" wrapText="1"/>
    </xf>
    <xf numFmtId="3" fontId="104" fillId="0" borderId="84" xfId="0" applyNumberFormat="1" applyFont="1" applyBorder="1" applyAlignment="1">
      <alignment vertical="center" wrapText="1"/>
    </xf>
    <xf numFmtId="3" fontId="104"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3"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99" xfId="0" applyFont="1" applyFill="1" applyBorder="1" applyAlignment="1">
      <alignment wrapText="1"/>
    </xf>
    <xf numFmtId="0" fontId="3" fillId="3" borderId="100" xfId="0" applyFont="1" applyFill="1" applyBorder="1"/>
    <xf numFmtId="0" fontId="4" fillId="3" borderId="75" xfId="0" applyFont="1" applyFill="1" applyBorder="1" applyAlignment="1">
      <alignment horizontal="center" wrapText="1"/>
    </xf>
    <xf numFmtId="0" fontId="3" fillId="0" borderId="96"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3" xfId="0" applyFont="1" applyFill="1" applyBorder="1" applyAlignment="1">
      <alignment horizontal="center" vertical="center" wrapText="1"/>
    </xf>
    <xf numFmtId="0" fontId="3" fillId="0" borderId="18" xfId="0" applyFont="1" applyBorder="1"/>
    <xf numFmtId="0" fontId="3" fillId="0" borderId="96" xfId="0" applyFont="1" applyBorder="1" applyAlignment="1">
      <alignment wrapText="1"/>
    </xf>
    <xf numFmtId="164" fontId="3" fillId="0" borderId="96" xfId="7" applyNumberFormat="1" applyFont="1" applyBorder="1"/>
    <xf numFmtId="164" fontId="3" fillId="0" borderId="81" xfId="7" applyNumberFormat="1" applyFont="1" applyBorder="1"/>
    <xf numFmtId="0" fontId="100" fillId="0" borderId="96" xfId="0" applyFont="1" applyBorder="1" applyAlignment="1">
      <alignment horizontal="left" wrapText="1" indent="2"/>
    </xf>
    <xf numFmtId="169" fontId="9" fillId="37" borderId="96" xfId="20" applyBorder="1"/>
    <xf numFmtId="164" fontId="3" fillId="0" borderId="96" xfId="7" applyNumberFormat="1" applyFont="1" applyBorder="1" applyAlignment="1">
      <alignment vertical="center"/>
    </xf>
    <xf numFmtId="0" fontId="4" fillId="0" borderId="18" xfId="0" applyFont="1" applyBorder="1"/>
    <xf numFmtId="0" fontId="4" fillId="0" borderId="96"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3" xfId="7" applyNumberFormat="1" applyFont="1" applyFill="1" applyBorder="1"/>
    <xf numFmtId="0" fontId="100" fillId="0" borderId="9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3"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4" xfId="0" applyFont="1" applyBorder="1" applyAlignment="1">
      <alignment vertical="center" wrapText="1"/>
    </xf>
    <xf numFmtId="193" fontId="2" fillId="2" borderId="94" xfId="0" applyNumberFormat="1" applyFont="1" applyFill="1" applyBorder="1" applyAlignment="1" applyProtection="1">
      <alignment vertical="center"/>
      <protection locked="0"/>
    </xf>
    <xf numFmtId="193" fontId="87" fillId="2" borderId="94"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1" xfId="17" applyBorder="1" applyAlignment="1" applyProtection="1"/>
    <xf numFmtId="0" fontId="114" fillId="0" borderId="0" xfId="0" applyFont="1" applyAlignment="1">
      <alignment horizontal="left" vertical="top" wrapText="1"/>
    </xf>
    <xf numFmtId="193" fontId="2" fillId="3" borderId="81" xfId="2" applyNumberFormat="1" applyFont="1" applyFill="1" applyBorder="1" applyAlignment="1" applyProtection="1">
      <alignment vertical="top" wrapText="1"/>
      <protection locked="0"/>
    </xf>
    <xf numFmtId="0" fontId="2" fillId="0" borderId="111" xfId="0" applyFont="1" applyBorder="1" applyAlignment="1">
      <alignment horizontal="center" vertical="center" wrapText="1"/>
    </xf>
    <xf numFmtId="0" fontId="112" fillId="0" borderId="111" xfId="0" applyFont="1" applyBorder="1" applyAlignment="1">
      <alignment horizontal="center" vertical="center"/>
    </xf>
    <xf numFmtId="0" fontId="0" fillId="0" borderId="111" xfId="0" applyBorder="1" applyAlignment="1">
      <alignment horizontal="center"/>
    </xf>
    <xf numFmtId="0" fontId="125" fillId="3" borderId="111" xfId="20966" applyFont="1" applyFill="1" applyBorder="1" applyAlignment="1">
      <alignment horizontal="left" vertical="center" wrapText="1"/>
    </xf>
    <xf numFmtId="0" fontId="126" fillId="0" borderId="111" xfId="20966" applyFont="1" applyBorder="1" applyAlignment="1">
      <alignment horizontal="left" vertical="center" wrapText="1" indent="1"/>
    </xf>
    <xf numFmtId="0" fontId="127" fillId="3" borderId="121" xfId="0" applyFont="1" applyFill="1" applyBorder="1" applyAlignment="1">
      <alignment horizontal="left" vertical="center" wrapText="1"/>
    </xf>
    <xf numFmtId="0" fontId="126" fillId="3" borderId="111" xfId="20966" applyFont="1" applyFill="1" applyBorder="1" applyAlignment="1">
      <alignment horizontal="left" vertical="center" wrapText="1" indent="1"/>
    </xf>
    <xf numFmtId="0" fontId="125" fillId="0" borderId="121" xfId="0" applyFont="1" applyBorder="1" applyAlignment="1">
      <alignment horizontal="left" vertical="center" wrapText="1"/>
    </xf>
    <xf numFmtId="0" fontId="127" fillId="0" borderId="121" xfId="0" applyFont="1" applyBorder="1" applyAlignment="1">
      <alignment horizontal="left" vertical="center" wrapText="1"/>
    </xf>
    <xf numFmtId="0" fontId="127" fillId="0" borderId="121" xfId="0" applyFont="1" applyBorder="1" applyAlignment="1">
      <alignment vertical="center" wrapText="1"/>
    </xf>
    <xf numFmtId="0" fontId="128" fillId="0" borderId="121" xfId="0" applyFont="1" applyBorder="1" applyAlignment="1">
      <alignment horizontal="left" vertical="center" wrapText="1" indent="1"/>
    </xf>
    <xf numFmtId="0" fontId="128" fillId="3" borderId="121" xfId="0" applyFont="1" applyFill="1" applyBorder="1" applyAlignment="1">
      <alignment horizontal="left" vertical="center" wrapText="1" indent="1"/>
    </xf>
    <xf numFmtId="0" fontId="127" fillId="3" borderId="122" xfId="0" applyFont="1" applyFill="1" applyBorder="1" applyAlignment="1">
      <alignment horizontal="left" vertical="center" wrapText="1"/>
    </xf>
    <xf numFmtId="0" fontId="128" fillId="0" borderId="111" xfId="20966" applyFont="1" applyBorder="1" applyAlignment="1">
      <alignment horizontal="left" vertical="center" wrapText="1" indent="1"/>
    </xf>
    <xf numFmtId="0" fontId="127" fillId="0" borderId="111" xfId="0" applyFont="1" applyBorder="1" applyAlignment="1">
      <alignment horizontal="left" vertical="center" wrapText="1"/>
    </xf>
    <xf numFmtId="0" fontId="129" fillId="0" borderId="111" xfId="20966" applyFont="1" applyBorder="1" applyAlignment="1">
      <alignment horizontal="center" vertical="center" wrapText="1"/>
    </xf>
    <xf numFmtId="0" fontId="127" fillId="3" borderId="123" xfId="0" applyFont="1" applyFill="1" applyBorder="1" applyAlignment="1">
      <alignment horizontal="left" vertical="center" wrapText="1"/>
    </xf>
    <xf numFmtId="0" fontId="0" fillId="0" borderId="124" xfId="0" applyBorder="1" applyAlignment="1">
      <alignment horizontal="center"/>
    </xf>
    <xf numFmtId="0" fontId="126" fillId="3" borderId="124" xfId="20966" applyFont="1" applyFill="1" applyBorder="1" applyAlignment="1">
      <alignment horizontal="left" vertical="center" wrapText="1" indent="1"/>
    </xf>
    <xf numFmtId="0" fontId="126" fillId="3" borderId="121" xfId="0" applyFont="1" applyFill="1" applyBorder="1" applyAlignment="1">
      <alignment horizontal="left" vertical="center" wrapText="1" indent="1"/>
    </xf>
    <xf numFmtId="0" fontId="126" fillId="0" borderId="124" xfId="20966" applyFont="1" applyBorder="1" applyAlignment="1">
      <alignment horizontal="left" vertical="center" wrapText="1" indent="1"/>
    </xf>
    <xf numFmtId="0" fontId="126" fillId="0" borderId="121" xfId="0" applyFont="1" applyBorder="1" applyAlignment="1">
      <alignment horizontal="left" vertical="center" wrapText="1" indent="1"/>
    </xf>
    <xf numFmtId="0" fontId="126" fillId="0" borderId="122" xfId="0" applyFont="1" applyBorder="1" applyAlignment="1">
      <alignment horizontal="left" vertical="center" wrapText="1" indent="1"/>
    </xf>
    <xf numFmtId="0" fontId="127" fillId="0" borderId="124" xfId="20966" applyFont="1" applyBorder="1" applyAlignment="1">
      <alignment horizontal="left" vertical="center" wrapText="1"/>
    </xf>
    <xf numFmtId="0" fontId="127" fillId="0" borderId="124" xfId="0" applyFont="1" applyBorder="1" applyAlignment="1">
      <alignment vertical="center" wrapText="1"/>
    </xf>
    <xf numFmtId="0" fontId="129" fillId="0" borderId="124" xfId="20966" applyFont="1" applyBorder="1" applyAlignment="1">
      <alignment horizontal="center" vertical="center" wrapText="1"/>
    </xf>
    <xf numFmtId="0" fontId="127" fillId="3" borderId="124" xfId="20966" applyFont="1" applyFill="1" applyBorder="1" applyAlignment="1">
      <alignment horizontal="left" vertical="center" wrapText="1"/>
    </xf>
    <xf numFmtId="0" fontId="130" fillId="0" borderId="0" xfId="0" applyFont="1" applyAlignment="1">
      <alignment horizontal="justify"/>
    </xf>
    <xf numFmtId="0" fontId="127" fillId="0" borderId="124"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4" xfId="0" applyFont="1" applyBorder="1" applyAlignment="1">
      <alignment horizontal="center" vertical="center" wrapText="1"/>
    </xf>
    <xf numFmtId="0" fontId="0" fillId="0" borderId="124" xfId="0" applyBorder="1" applyAlignment="1">
      <alignment horizontal="center" vertical="center"/>
    </xf>
    <xf numFmtId="0" fontId="127" fillId="0" borderId="129" xfId="0" applyFont="1" applyBorder="1" applyAlignment="1">
      <alignment horizontal="justify" vertical="center" wrapText="1"/>
    </xf>
    <xf numFmtId="0" fontId="127" fillId="0" borderId="121" xfId="0" applyFont="1" applyBorder="1" applyAlignment="1">
      <alignment horizontal="justify" vertical="center" wrapText="1"/>
    </xf>
    <xf numFmtId="0" fontId="125" fillId="0" borderId="121" xfId="0" applyFont="1" applyBorder="1" applyAlignment="1">
      <alignment horizontal="justify" vertical="center" wrapText="1"/>
    </xf>
    <xf numFmtId="0" fontId="127" fillId="3" borderId="121" xfId="0" applyFont="1" applyFill="1" applyBorder="1" applyAlignment="1">
      <alignment horizontal="justify" vertical="center" wrapText="1"/>
    </xf>
    <xf numFmtId="0" fontId="127" fillId="0" borderId="122" xfId="0" applyFont="1" applyBorder="1" applyAlignment="1">
      <alignment horizontal="justify" vertical="center" wrapText="1"/>
    </xf>
    <xf numFmtId="0" fontId="127" fillId="0" borderId="123" xfId="0" applyFont="1" applyBorder="1" applyAlignment="1">
      <alignment horizontal="justify" vertical="center" wrapText="1"/>
    </xf>
    <xf numFmtId="0" fontId="125" fillId="0" borderId="121" xfId="0" applyFont="1" applyBorder="1" applyAlignment="1">
      <alignment vertical="center" wrapText="1"/>
    </xf>
    <xf numFmtId="0" fontId="126" fillId="0" borderId="121" xfId="0" applyFont="1" applyBorder="1" applyAlignment="1">
      <alignment horizontal="left" vertical="center" wrapText="1"/>
    </xf>
    <xf numFmtId="0" fontId="127" fillId="0" borderId="130" xfId="0" applyFont="1" applyBorder="1" applyAlignment="1">
      <alignment vertical="center" wrapText="1"/>
    </xf>
    <xf numFmtId="0" fontId="127" fillId="3" borderId="121" xfId="0" applyFont="1" applyFill="1" applyBorder="1" applyAlignment="1">
      <alignment vertical="center" wrapText="1"/>
    </xf>
    <xf numFmtId="0" fontId="105" fillId="0" borderId="127" xfId="0" applyFont="1" applyBorder="1" applyAlignment="1">
      <alignment vertical="center" wrapText="1"/>
    </xf>
    <xf numFmtId="0" fontId="2" fillId="0" borderId="127" xfId="0" applyFont="1" applyBorder="1" applyAlignment="1">
      <alignment horizontal="left" vertical="center" wrapText="1" indent="4"/>
    </xf>
    <xf numFmtId="0" fontId="45" fillId="0" borderId="127" xfId="0" applyFont="1" applyBorder="1" applyAlignment="1">
      <alignment vertical="center" wrapText="1"/>
    </xf>
    <xf numFmtId="0" fontId="2" fillId="0" borderId="124" xfId="0" applyFont="1" applyBorder="1" applyAlignment="1" applyProtection="1">
      <alignment horizontal="left" vertical="center" indent="11"/>
      <protection locked="0"/>
    </xf>
    <xf numFmtId="0" fontId="46" fillId="0" borderId="124" xfId="0" applyFont="1" applyBorder="1" applyAlignment="1" applyProtection="1">
      <alignment horizontal="left" vertical="center" indent="17"/>
      <protection locked="0"/>
    </xf>
    <xf numFmtId="0" fontId="112" fillId="0" borderId="124" xfId="0" applyFont="1" applyBorder="1" applyAlignment="1">
      <alignment vertical="center"/>
    </xf>
    <xf numFmtId="0" fontId="96" fillId="0" borderId="124" xfId="0" applyFont="1" applyBorder="1" applyAlignment="1">
      <alignment vertical="center" wrapText="1"/>
    </xf>
    <xf numFmtId="0" fontId="97" fillId="0" borderId="127" xfId="0" applyFont="1" applyBorder="1" applyAlignment="1">
      <alignment horizontal="left" vertical="center" wrapText="1"/>
    </xf>
    <xf numFmtId="0" fontId="2" fillId="0" borderId="127" xfId="0" applyFont="1" applyBorder="1" applyAlignment="1">
      <alignment horizontal="left" vertical="center" wrapText="1"/>
    </xf>
    <xf numFmtId="193" fontId="95" fillId="0" borderId="0" xfId="0" applyNumberFormat="1" applyFont="1" applyAlignment="1">
      <alignment horizontal="right"/>
    </xf>
    <xf numFmtId="43" fontId="84" fillId="0" borderId="80" xfId="7" applyFont="1" applyFill="1" applyBorder="1" applyAlignment="1">
      <alignment horizontal="center" vertical="center"/>
    </xf>
    <xf numFmtId="43" fontId="84" fillId="0" borderId="124" xfId="7" applyFont="1" applyFill="1" applyBorder="1" applyAlignment="1">
      <alignment horizontal="center" vertical="center"/>
    </xf>
    <xf numFmtId="0" fontId="126" fillId="3" borderId="122" xfId="0"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167" fontId="84" fillId="0" borderId="124" xfId="0" applyNumberFormat="1" applyFont="1" applyBorder="1" applyAlignment="1">
      <alignment horizontal="center"/>
    </xf>
    <xf numFmtId="0" fontId="84" fillId="0" borderId="124" xfId="0" applyFont="1" applyBorder="1"/>
    <xf numFmtId="0" fontId="126" fillId="0" borderId="124" xfId="0" applyFont="1" applyBorder="1" applyAlignment="1">
      <alignment horizontal="left" vertical="center" wrapText="1" indent="1"/>
    </xf>
    <xf numFmtId="0" fontId="127" fillId="3" borderId="124" xfId="0" applyFont="1" applyFill="1" applyBorder="1" applyAlignment="1">
      <alignment horizontal="left" vertical="center" wrapText="1"/>
    </xf>
    <xf numFmtId="0" fontId="128" fillId="3" borderId="124" xfId="0" applyFont="1" applyFill="1" applyBorder="1" applyAlignment="1">
      <alignment horizontal="left" vertical="center" wrapText="1" indent="1"/>
    </xf>
    <xf numFmtId="0" fontId="130" fillId="0" borderId="124" xfId="0" applyFont="1" applyBorder="1" applyAlignment="1">
      <alignment horizontal="justify"/>
    </xf>
    <xf numFmtId="167" fontId="86" fillId="0" borderId="124" xfId="0" applyNumberFormat="1" applyFont="1" applyBorder="1" applyAlignment="1">
      <alignment horizontal="center"/>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193" fontId="84" fillId="0" borderId="11" xfId="0" applyNumberFormat="1" applyFont="1" applyBorder="1" applyAlignment="1">
      <alignment horizontal="center" vertical="center"/>
    </xf>
    <xf numFmtId="193" fontId="86" fillId="0" borderId="13" xfId="0" applyNumberFormat="1" applyFont="1" applyBorder="1" applyAlignment="1">
      <alignment horizontal="center" vertical="center"/>
    </xf>
    <xf numFmtId="193" fontId="86" fillId="0" borderId="124" xfId="0" applyNumberFormat="1" applyFont="1" applyBorder="1" applyAlignment="1">
      <alignment horizontal="center" vertical="center"/>
    </xf>
    <xf numFmtId="0" fontId="117" fillId="0" borderId="124" xfId="0" applyFont="1" applyBorder="1"/>
    <xf numFmtId="49" fontId="119" fillId="0" borderId="124" xfId="5" applyNumberFormat="1" applyFont="1" applyBorder="1" applyAlignment="1" applyProtection="1">
      <alignment horizontal="right" vertical="center"/>
      <protection locked="0"/>
    </xf>
    <xf numFmtId="0" fontId="118" fillId="3" borderId="124" xfId="13" applyFont="1" applyFill="1" applyBorder="1" applyAlignment="1" applyProtection="1">
      <alignment horizontal="left" vertical="center" wrapText="1"/>
      <protection locked="0"/>
    </xf>
    <xf numFmtId="49" fontId="118" fillId="3" borderId="124" xfId="5" applyNumberFormat="1" applyFont="1" applyFill="1" applyBorder="1" applyAlignment="1" applyProtection="1">
      <alignment horizontal="right" vertical="center"/>
      <protection locked="0"/>
    </xf>
    <xf numFmtId="0" fontId="118" fillId="0" borderId="124" xfId="13" applyFont="1" applyBorder="1" applyAlignment="1" applyProtection="1">
      <alignment horizontal="left" vertical="center" wrapText="1"/>
      <protection locked="0"/>
    </xf>
    <xf numFmtId="49" fontId="118" fillId="0" borderId="124" xfId="5" applyNumberFormat="1" applyFont="1" applyBorder="1" applyAlignment="1" applyProtection="1">
      <alignment horizontal="right" vertical="center"/>
      <protection locked="0"/>
    </xf>
    <xf numFmtId="0" fontId="120" fillId="0" borderId="124" xfId="13" applyFont="1" applyBorder="1" applyAlignment="1" applyProtection="1">
      <alignment horizontal="left" vertical="center" wrapText="1"/>
      <protection locked="0"/>
    </xf>
    <xf numFmtId="0" fontId="117" fillId="0" borderId="124"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4" xfId="20965" applyFont="1" applyFill="1" applyBorder="1"/>
    <xf numFmtId="0" fontId="113" fillId="0" borderId="124" xfId="0" applyFont="1" applyBorder="1"/>
    <xf numFmtId="0" fontId="113" fillId="0" borderId="124" xfId="0" applyFont="1" applyBorder="1" applyAlignment="1">
      <alignment horizontal="left" indent="8"/>
    </xf>
    <xf numFmtId="0" fontId="113" fillId="0" borderId="124" xfId="0" applyFont="1" applyBorder="1" applyAlignment="1">
      <alignment wrapText="1"/>
    </xf>
    <xf numFmtId="0" fontId="117" fillId="0" borderId="0" xfId="0" applyFont="1"/>
    <xf numFmtId="0" fontId="116" fillId="0" borderId="124" xfId="0" applyFont="1" applyBorder="1"/>
    <xf numFmtId="49" fontId="119" fillId="0" borderId="124" xfId="5" applyNumberFormat="1" applyFont="1" applyBorder="1" applyAlignment="1" applyProtection="1">
      <alignment horizontal="right" vertical="center" wrapText="1"/>
      <protection locked="0"/>
    </xf>
    <xf numFmtId="49" fontId="118" fillId="3" borderId="124" xfId="5" applyNumberFormat="1" applyFont="1" applyFill="1" applyBorder="1" applyAlignment="1" applyProtection="1">
      <alignment horizontal="right" vertical="center" wrapText="1"/>
      <protection locked="0"/>
    </xf>
    <xf numFmtId="49" fontId="118" fillId="0" borderId="124" xfId="5" applyNumberFormat="1" applyFont="1" applyBorder="1" applyAlignment="1" applyProtection="1">
      <alignment horizontal="right" vertical="center" wrapText="1"/>
      <protection locked="0"/>
    </xf>
    <xf numFmtId="0" fontId="113" fillId="0" borderId="124"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4"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4" xfId="0" applyFont="1" applyBorder="1" applyAlignment="1">
      <alignment horizontal="left" vertical="center" wrapText="1"/>
    </xf>
    <xf numFmtId="0" fontId="116" fillId="0" borderId="124" xfId="0" applyFont="1" applyBorder="1" applyAlignment="1">
      <alignment horizontal="left" wrapText="1" indent="1"/>
    </xf>
    <xf numFmtId="0" fontId="116" fillId="0" borderId="124" xfId="0" applyFont="1" applyBorder="1" applyAlignment="1">
      <alignment horizontal="left" vertical="center" indent="1"/>
    </xf>
    <xf numFmtId="0" fontId="114" fillId="0" borderId="124" xfId="0" applyFont="1" applyBorder="1"/>
    <xf numFmtId="0" fontId="113" fillId="0" borderId="124" xfId="0" applyFont="1" applyBorder="1" applyAlignment="1">
      <alignment horizontal="left" wrapText="1" indent="1"/>
    </xf>
    <xf numFmtId="0" fontId="113" fillId="0" borderId="124" xfId="0" applyFont="1" applyBorder="1" applyAlignment="1">
      <alignment horizontal="left" indent="1"/>
    </xf>
    <xf numFmtId="0" fontId="113" fillId="0" borderId="124" xfId="0" applyFont="1" applyBorder="1" applyAlignment="1">
      <alignment horizontal="left" wrapText="1" indent="4"/>
    </xf>
    <xf numFmtId="0" fontId="113" fillId="0" borderId="124" xfId="0" applyFont="1" applyBorder="1" applyAlignment="1">
      <alignment horizontal="left" indent="3"/>
    </xf>
    <xf numFmtId="0" fontId="116" fillId="0" borderId="124" xfId="0" applyFont="1" applyBorder="1" applyAlignment="1">
      <alignment horizontal="left" indent="1"/>
    </xf>
    <xf numFmtId="0" fontId="114" fillId="78" borderId="124" xfId="0" applyFont="1" applyFill="1" applyBorder="1"/>
    <xf numFmtId="0" fontId="117" fillId="0" borderId="7" xfId="0" applyFont="1" applyBorder="1"/>
    <xf numFmtId="0" fontId="114" fillId="0" borderId="124" xfId="0" applyFont="1" applyBorder="1" applyAlignment="1">
      <alignment horizontal="left" wrapText="1" indent="2"/>
    </xf>
    <xf numFmtId="0" fontId="114" fillId="0" borderId="124" xfId="0" applyFont="1" applyBorder="1" applyAlignment="1">
      <alignment horizontal="left" wrapText="1"/>
    </xf>
    <xf numFmtId="0" fontId="116" fillId="76" borderId="124" xfId="0" applyFont="1" applyFill="1" applyBorder="1"/>
    <xf numFmtId="0" fontId="113" fillId="0" borderId="124"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3"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04" xfId="0" applyFont="1" applyBorder="1" applyAlignment="1">
      <alignment horizontal="center" vertical="center" wrapText="1"/>
    </xf>
    <xf numFmtId="0" fontId="113" fillId="0" borderId="23" xfId="0" applyFont="1" applyBorder="1"/>
    <xf numFmtId="0" fontId="113" fillId="0" borderId="22" xfId="0" applyFont="1" applyBorder="1"/>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0" fontId="113" fillId="0" borderId="81" xfId="0" applyFont="1" applyBorder="1"/>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0" fontId="113" fillId="79" borderId="81" xfId="0" applyFont="1" applyFill="1" applyBorder="1"/>
    <xf numFmtId="0" fontId="113" fillId="79" borderId="124" xfId="0" applyFont="1" applyFill="1" applyBorder="1"/>
    <xf numFmtId="0" fontId="113" fillId="79" borderId="18" xfId="0" applyFont="1" applyFill="1" applyBorder="1"/>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4" xfId="0" applyFont="1" applyBorder="1" applyAlignment="1">
      <alignment horizontal="left" vertical="center" wrapText="1"/>
    </xf>
    <xf numFmtId="0" fontId="118" fillId="0" borderId="0" xfId="0" applyFont="1"/>
    <xf numFmtId="0" fontId="95" fillId="0" borderId="0" xfId="0" applyFont="1" applyAlignment="1">
      <alignment wrapText="1"/>
    </xf>
    <xf numFmtId="0" fontId="116" fillId="0" borderId="124"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9" xfId="0" applyFont="1" applyBorder="1" applyAlignment="1">
      <alignment horizontal="left" vertical="center" wrapText="1" indent="1" readingOrder="1"/>
    </xf>
    <xf numFmtId="0" fontId="134" fillId="0" borderId="124" xfId="0" applyFont="1" applyBorder="1" applyAlignment="1">
      <alignment horizontal="left" indent="3"/>
    </xf>
    <xf numFmtId="0" fontId="116" fillId="0" borderId="124" xfId="0" applyFont="1" applyBorder="1" applyAlignment="1">
      <alignment vertical="center" wrapText="1" readingOrder="1"/>
    </xf>
    <xf numFmtId="0" fontId="134" fillId="0" borderId="124" xfId="0" applyFont="1" applyBorder="1" applyAlignment="1">
      <alignment horizontal="left" indent="2"/>
    </xf>
    <xf numFmtId="0" fontId="113" fillId="0" borderId="120" xfId="0" applyFont="1" applyBorder="1" applyAlignment="1">
      <alignment vertical="center" wrapText="1" readingOrder="1"/>
    </xf>
    <xf numFmtId="0" fontId="134" fillId="0" borderId="128" xfId="0" applyFont="1" applyBorder="1" applyAlignment="1">
      <alignment horizontal="left" indent="2"/>
    </xf>
    <xf numFmtId="0" fontId="113" fillId="0" borderId="119" xfId="0" applyFont="1" applyBorder="1" applyAlignment="1">
      <alignment vertical="center" wrapText="1" readingOrder="1"/>
    </xf>
    <xf numFmtId="0" fontId="113" fillId="0" borderId="118" xfId="0" applyFont="1" applyBorder="1" applyAlignment="1">
      <alignment vertical="center" wrapText="1" readingOrder="1"/>
    </xf>
    <xf numFmtId="0" fontId="134" fillId="0" borderId="7" xfId="0" applyFont="1" applyBorder="1"/>
    <xf numFmtId="0" fontId="2" fillId="0" borderId="15" xfId="0" applyFont="1" applyBorder="1" applyAlignment="1">
      <alignment horizontal="left" vertical="center" wrapText="1" indent="1"/>
    </xf>
    <xf numFmtId="169" fontId="2" fillId="37" borderId="63" xfId="20" applyFont="1" applyBorder="1"/>
    <xf numFmtId="193" fontId="84" fillId="0" borderId="124"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93" fontId="87" fillId="2" borderId="124"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7" fillId="2" borderId="128"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2" fillId="81" borderId="0" xfId="13" applyFont="1" applyFill="1" applyAlignment="1" applyProtection="1">
      <alignment wrapText="1"/>
      <protection locked="0"/>
    </xf>
    <xf numFmtId="193" fontId="84" fillId="0" borderId="127" xfId="0" applyNumberFormat="1" applyFont="1" applyBorder="1" applyAlignment="1" applyProtection="1">
      <alignment vertical="center" wrapText="1"/>
      <protection locked="0"/>
    </xf>
    <xf numFmtId="169" fontId="2" fillId="37" borderId="124" xfId="20" applyFont="1" applyBorder="1"/>
    <xf numFmtId="10" fontId="3" fillId="0" borderId="124" xfId="20962" applyNumberFormat="1" applyFont="1" applyFill="1" applyBorder="1" applyAlignment="1" applyProtection="1">
      <alignment horizontal="right" vertical="center" wrapText="1"/>
    </xf>
    <xf numFmtId="10" fontId="3" fillId="0" borderId="124" xfId="20962" applyNumberFormat="1" applyFont="1" applyBorder="1" applyAlignment="1" applyProtection="1">
      <alignment vertical="center" wrapText="1"/>
      <protection locked="0"/>
    </xf>
    <xf numFmtId="10" fontId="3" fillId="0" borderId="81" xfId="20962" applyNumberFormat="1" applyFont="1" applyBorder="1" applyAlignment="1" applyProtection="1">
      <alignment vertical="center" wrapText="1"/>
      <protection locked="0"/>
    </xf>
    <xf numFmtId="10" fontId="3" fillId="0" borderId="124" xfId="20962" applyNumberFormat="1" applyFont="1" applyFill="1" applyBorder="1" applyAlignment="1" applyProtection="1">
      <alignment horizontal="right" vertical="center" wrapText="1"/>
      <protection locked="0"/>
    </xf>
    <xf numFmtId="169" fontId="2" fillId="37" borderId="70" xfId="20" applyFont="1" applyBorder="1"/>
    <xf numFmtId="10" fontId="84" fillId="0" borderId="124" xfId="20962" applyNumberFormat="1" applyFont="1" applyBorder="1" applyAlignment="1" applyProtection="1">
      <alignment vertical="center" wrapText="1"/>
      <protection locked="0"/>
    </xf>
    <xf numFmtId="10" fontId="84" fillId="0" borderId="81"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19" xfId="20962" applyNumberFormat="1" applyFont="1" applyFill="1" applyBorder="1" applyAlignment="1" applyProtection="1">
      <alignment vertical="center"/>
      <protection locked="0"/>
    </xf>
    <xf numFmtId="10" fontId="87" fillId="2" borderId="124"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84" fillId="0" borderId="3" xfId="20962" applyNumberFormat="1" applyFont="1" applyBorder="1" applyAlignment="1" applyProtection="1">
      <alignment horizontal="center" vertical="center" wrapText="1"/>
      <protection locked="0"/>
    </xf>
    <xf numFmtId="10" fontId="84" fillId="0" borderId="19" xfId="20962" applyNumberFormat="1" applyFont="1" applyBorder="1" applyAlignment="1" applyProtection="1">
      <alignment horizontal="center" vertical="center" wrapText="1"/>
      <protection locked="0"/>
    </xf>
    <xf numFmtId="10" fontId="84" fillId="0" borderId="124" xfId="20962" applyNumberFormat="1" applyFont="1" applyBorder="1" applyAlignment="1" applyProtection="1">
      <alignment horizontal="center" vertical="center" wrapText="1"/>
      <protection locked="0"/>
    </xf>
    <xf numFmtId="10" fontId="84" fillId="0" borderId="81" xfId="20962" applyNumberFormat="1" applyFont="1" applyBorder="1" applyAlignment="1" applyProtection="1">
      <alignment horizontal="center" vertical="center" wrapText="1"/>
      <protection locked="0"/>
    </xf>
    <xf numFmtId="10" fontId="2" fillId="2" borderId="94" xfId="20962" applyNumberFormat="1" applyFont="1" applyFill="1" applyBorder="1" applyAlignment="1" applyProtection="1">
      <alignment vertical="center"/>
      <protection locked="0"/>
    </xf>
    <xf numFmtId="10" fontId="87" fillId="2" borderId="94"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87" fillId="2" borderId="128" xfId="20962" applyNumberFormat="1" applyFont="1" applyFill="1" applyBorder="1" applyAlignment="1" applyProtection="1">
      <alignment vertical="center"/>
      <protection locked="0"/>
    </xf>
    <xf numFmtId="169" fontId="2" fillId="37" borderId="125" xfId="20" applyFont="1" applyBorder="1"/>
    <xf numFmtId="169" fontId="2" fillId="37" borderId="126" xfId="20" applyFont="1" applyBorder="1"/>
    <xf numFmtId="169" fontId="2" fillId="37" borderId="84" xfId="20" applyFont="1" applyBorder="1"/>
    <xf numFmtId="10" fontId="2" fillId="2" borderId="22"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7" fillId="2" borderId="23" xfId="20962" applyNumberFormat="1" applyFont="1" applyFill="1" applyBorder="1" applyAlignment="1" applyProtection="1">
      <alignment vertical="center"/>
      <protection locked="0"/>
    </xf>
    <xf numFmtId="164" fontId="0" fillId="0" borderId="111" xfId="7" applyNumberFormat="1" applyFont="1" applyBorder="1"/>
    <xf numFmtId="164" fontId="0" fillId="36" borderId="111" xfId="7" applyNumberFormat="1" applyFont="1" applyFill="1" applyBorder="1"/>
    <xf numFmtId="164" fontId="0" fillId="0" borderId="111" xfId="7" applyNumberFormat="1" applyFont="1" applyBorder="1" applyAlignment="1">
      <alignment vertical="center"/>
    </xf>
    <xf numFmtId="164" fontId="0" fillId="36" borderId="111" xfId="7" applyNumberFormat="1" applyFont="1" applyFill="1" applyBorder="1" applyAlignment="1">
      <alignment vertical="center"/>
    </xf>
    <xf numFmtId="164" fontId="0" fillId="0" borderId="124" xfId="7" applyNumberFormat="1" applyFont="1" applyBorder="1"/>
    <xf numFmtId="164" fontId="0" fillId="36" borderId="124" xfId="7" applyNumberFormat="1" applyFont="1" applyFill="1" applyBorder="1"/>
    <xf numFmtId="164" fontId="95" fillId="0" borderId="124" xfId="7" applyNumberFormat="1" applyFont="1" applyBorder="1" applyAlignment="1">
      <alignment horizontal="right"/>
    </xf>
    <xf numFmtId="164" fontId="95" fillId="36" borderId="124" xfId="7" applyNumberFormat="1" applyFont="1" applyFill="1" applyBorder="1" applyAlignment="1">
      <alignment horizontal="right"/>
    </xf>
    <xf numFmtId="164" fontId="95" fillId="36" borderId="81" xfId="7" applyNumberFormat="1" applyFont="1" applyFill="1" applyBorder="1" applyAlignment="1">
      <alignment horizontal="right"/>
    </xf>
    <xf numFmtId="0" fontId="85" fillId="0" borderId="124" xfId="0" applyFont="1" applyBorder="1"/>
    <xf numFmtId="0" fontId="6" fillId="0" borderId="124" xfId="17" applyBorder="1" applyAlignment="1" applyProtection="1"/>
    <xf numFmtId="0" fontId="137" fillId="0" borderId="125" xfId="0" applyFont="1" applyBorder="1" applyAlignment="1">
      <alignment wrapText="1"/>
    </xf>
    <xf numFmtId="0" fontId="2" fillId="0" borderId="86" xfId="0" applyFont="1" applyBorder="1" applyAlignment="1">
      <alignment vertical="center"/>
    </xf>
    <xf numFmtId="0" fontId="2" fillId="0" borderId="103" xfId="0" applyFont="1" applyBorder="1" applyAlignment="1">
      <alignment wrapText="1"/>
    </xf>
    <xf numFmtId="0" fontId="2" fillId="0" borderId="125" xfId="0" applyFont="1" applyBorder="1" applyAlignment="1">
      <alignment wrapText="1"/>
    </xf>
    <xf numFmtId="10" fontId="3" fillId="0" borderId="81" xfId="20962" applyNumberFormat="1" applyFont="1" applyBorder="1"/>
    <xf numFmtId="10" fontId="84" fillId="0" borderId="81" xfId="20962" applyNumberFormat="1" applyFont="1" applyBorder="1"/>
    <xf numFmtId="10" fontId="84" fillId="0" borderId="89" xfId="20962" applyNumberFormat="1" applyFont="1" applyBorder="1"/>
    <xf numFmtId="10" fontId="84" fillId="0" borderId="23" xfId="20962" applyNumberFormat="1" applyFont="1" applyBorder="1"/>
    <xf numFmtId="0" fontId="2" fillId="0" borderId="81" xfId="0" applyFont="1" applyBorder="1"/>
    <xf numFmtId="0" fontId="84" fillId="0" borderId="81" xfId="0" applyFont="1" applyBorder="1"/>
    <xf numFmtId="43" fontId="3" fillId="0" borderId="124" xfId="7" applyFont="1" applyFill="1" applyBorder="1" applyAlignment="1">
      <alignment vertical="center" wrapText="1"/>
    </xf>
    <xf numFmtId="193" fontId="138" fillId="3" borderId="19" xfId="2" applyNumberFormat="1" applyFont="1" applyFill="1" applyBorder="1" applyAlignment="1" applyProtection="1">
      <alignment vertical="top" wrapText="1"/>
      <protection locked="0"/>
    </xf>
    <xf numFmtId="164" fontId="3" fillId="0" borderId="81" xfId="7" applyNumberFormat="1" applyFont="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Border="1" applyAlignment="1">
      <alignment horizontal="right" vertical="center" wrapText="1"/>
    </xf>
    <xf numFmtId="164" fontId="84" fillId="0" borderId="124" xfId="7" applyNumberFormat="1" applyFont="1" applyBorder="1" applyAlignment="1">
      <alignment horizontal="center" vertical="center"/>
    </xf>
    <xf numFmtId="164" fontId="84" fillId="0" borderId="124" xfId="7" applyNumberFormat="1" applyFont="1" applyBorder="1" applyAlignment="1">
      <alignment vertical="center"/>
    </xf>
    <xf numFmtId="164" fontId="84" fillId="0" borderId="31" xfId="7" applyNumberFormat="1" applyFont="1" applyBorder="1" applyAlignment="1">
      <alignment horizontal="center" vertical="center"/>
    </xf>
    <xf numFmtId="164" fontId="84" fillId="0" borderId="11" xfId="7" applyNumberFormat="1" applyFont="1" applyBorder="1" applyAlignment="1">
      <alignment horizontal="center" vertical="center"/>
    </xf>
    <xf numFmtId="164" fontId="88" fillId="0" borderId="11" xfId="7" applyNumberFormat="1" applyFont="1" applyBorder="1" applyAlignment="1">
      <alignment horizontal="center" vertical="center"/>
    </xf>
    <xf numFmtId="164" fontId="84" fillId="0" borderId="12" xfId="7" applyNumberFormat="1" applyFont="1" applyBorder="1" applyAlignment="1">
      <alignment horizontal="center" vertical="center"/>
    </xf>
    <xf numFmtId="164" fontId="86" fillId="0" borderId="13" xfId="7" applyNumberFormat="1" applyFont="1" applyBorder="1" applyAlignment="1">
      <alignment horizontal="center" vertical="center"/>
    </xf>
    <xf numFmtId="164" fontId="84" fillId="0" borderId="14" xfId="7" applyNumberFormat="1" applyFont="1" applyBorder="1" applyAlignment="1">
      <alignment horizontal="center" vertical="center"/>
    </xf>
    <xf numFmtId="164" fontId="3" fillId="0" borderId="85" xfId="7" applyNumberFormat="1" applyFont="1" applyBorder="1" applyAlignment="1">
      <alignment vertical="center"/>
    </xf>
    <xf numFmtId="164" fontId="3" fillId="0" borderId="85" xfId="0" applyNumberFormat="1" applyFont="1" applyBorder="1" applyAlignment="1">
      <alignment vertical="center"/>
    </xf>
    <xf numFmtId="164" fontId="3" fillId="0" borderId="64" xfId="0" applyNumberFormat="1" applyFont="1" applyBorder="1" applyAlignment="1">
      <alignment vertical="center"/>
    </xf>
    <xf numFmtId="164" fontId="3" fillId="0" borderId="124" xfId="7" applyNumberFormat="1" applyFont="1" applyBorder="1" applyAlignment="1">
      <alignment vertical="center"/>
    </xf>
    <xf numFmtId="164" fontId="3" fillId="0" borderId="125" xfId="7" applyNumberFormat="1" applyFont="1" applyBorder="1" applyAlignment="1">
      <alignment vertical="center"/>
    </xf>
    <xf numFmtId="164" fontId="3" fillId="0" borderId="125" xfId="0" applyNumberFormat="1" applyFont="1" applyBorder="1" applyAlignment="1">
      <alignment vertical="center"/>
    </xf>
    <xf numFmtId="164" fontId="3" fillId="0" borderId="81" xfId="0" applyNumberFormat="1" applyFont="1" applyBorder="1" applyAlignment="1">
      <alignment vertical="center"/>
    </xf>
    <xf numFmtId="164" fontId="4" fillId="0" borderId="125" xfId="7" applyNumberFormat="1" applyFont="1" applyFill="1" applyBorder="1" applyAlignment="1">
      <alignment vertical="center"/>
    </xf>
    <xf numFmtId="0" fontId="3" fillId="3" borderId="126" xfId="0" applyFont="1" applyFill="1" applyBorder="1" applyAlignment="1">
      <alignment vertical="center"/>
    </xf>
    <xf numFmtId="0" fontId="3" fillId="0" borderId="124" xfId="0" applyFont="1" applyBorder="1" applyAlignment="1">
      <alignment vertical="center"/>
    </xf>
    <xf numFmtId="0" fontId="3" fillId="0" borderId="125" xfId="0" applyFont="1" applyBorder="1" applyAlignment="1">
      <alignment vertical="center"/>
    </xf>
    <xf numFmtId="164" fontId="4" fillId="0" borderId="22" xfId="0" applyNumberFormat="1" applyFont="1" applyBorder="1" applyAlignment="1">
      <alignment vertical="center"/>
    </xf>
    <xf numFmtId="164" fontId="3" fillId="0" borderId="26" xfId="7" applyNumberFormat="1" applyFont="1" applyFill="1" applyBorder="1" applyAlignment="1">
      <alignment vertical="center"/>
    </xf>
    <xf numFmtId="164" fontId="4" fillId="0" borderId="26" xfId="0" applyNumberFormat="1" applyFont="1" applyBorder="1" applyAlignment="1">
      <alignment vertical="center"/>
    </xf>
    <xf numFmtId="164" fontId="4" fillId="0" borderId="17" xfId="0" applyNumberFormat="1" applyFont="1" applyBorder="1" applyAlignment="1">
      <alignment vertical="center"/>
    </xf>
    <xf numFmtId="164" fontId="3" fillId="0" borderId="103" xfId="7" applyNumberFormat="1" applyFont="1" applyFill="1" applyBorder="1" applyAlignment="1">
      <alignment vertical="center"/>
    </xf>
    <xf numFmtId="9" fontId="3" fillId="0" borderId="92" xfId="20962" applyFont="1" applyFill="1" applyBorder="1" applyAlignment="1">
      <alignment vertical="center"/>
    </xf>
    <xf numFmtId="9" fontId="3" fillId="0" borderId="134" xfId="20962" applyFont="1" applyFill="1" applyBorder="1" applyAlignment="1">
      <alignment vertical="center"/>
    </xf>
    <xf numFmtId="164" fontId="106" fillId="0" borderId="124" xfId="948" applyNumberFormat="1" applyFont="1" applyFill="1" applyBorder="1" applyAlignment="1" applyProtection="1">
      <alignment horizontal="right" vertical="center"/>
    </xf>
    <xf numFmtId="164" fontId="106" fillId="77" borderId="124" xfId="948" applyNumberFormat="1" applyFont="1" applyFill="1" applyBorder="1" applyAlignment="1" applyProtection="1">
      <alignment horizontal="right" vertical="center"/>
    </xf>
    <xf numFmtId="10" fontId="106" fillId="0" borderId="96" xfId="20962" applyNumberFormat="1" applyFont="1" applyFill="1" applyBorder="1" applyAlignment="1" applyProtection="1">
      <alignment horizontal="right" vertical="center"/>
      <protection locked="0"/>
    </xf>
    <xf numFmtId="164" fontId="4" fillId="0" borderId="124" xfId="7" applyNumberFormat="1" applyFont="1" applyFill="1" applyBorder="1"/>
    <xf numFmtId="164" fontId="4" fillId="0" borderId="124" xfId="7" applyNumberFormat="1" applyFont="1" applyFill="1" applyBorder="1" applyAlignment="1">
      <alignment vertical="center"/>
    </xf>
    <xf numFmtId="164" fontId="4" fillId="0" borderId="124" xfId="7" applyNumberFormat="1" applyFont="1" applyBorder="1"/>
    <xf numFmtId="164" fontId="4" fillId="0" borderId="124" xfId="7" applyNumberFormat="1" applyFont="1" applyBorder="1" applyAlignment="1">
      <alignment vertical="center"/>
    </xf>
    <xf numFmtId="164" fontId="3" fillId="0" borderId="124" xfId="7" applyNumberFormat="1" applyFont="1" applyBorder="1"/>
    <xf numFmtId="164" fontId="3" fillId="0" borderId="81" xfId="7" applyNumberFormat="1" applyFont="1" applyFill="1" applyBorder="1"/>
    <xf numFmtId="164" fontId="3" fillId="0" borderId="124" xfId="7" applyNumberFormat="1" applyFont="1" applyFill="1" applyBorder="1" applyAlignment="1">
      <alignment vertical="center"/>
    </xf>
    <xf numFmtId="164" fontId="3" fillId="0" borderId="124" xfId="7" applyNumberFormat="1" applyFont="1" applyFill="1" applyBorder="1"/>
    <xf numFmtId="164" fontId="117" fillId="0" borderId="124" xfId="7" applyNumberFormat="1" applyFont="1" applyBorder="1"/>
    <xf numFmtId="164" fontId="117" fillId="0" borderId="124" xfId="7" applyNumberFormat="1" applyFont="1" applyFill="1" applyBorder="1"/>
    <xf numFmtId="164" fontId="113" fillId="0" borderId="124" xfId="7" applyNumberFormat="1" applyFont="1" applyBorder="1"/>
    <xf numFmtId="164" fontId="113" fillId="0" borderId="124" xfId="7" applyNumberFormat="1" applyFont="1" applyFill="1" applyBorder="1"/>
    <xf numFmtId="164" fontId="116" fillId="0" borderId="124" xfId="7" applyNumberFormat="1" applyFont="1" applyBorder="1"/>
    <xf numFmtId="43" fontId="113" fillId="0" borderId="124" xfId="7" applyFont="1" applyFill="1" applyBorder="1" applyAlignment="1"/>
    <xf numFmtId="43" fontId="113" fillId="0" borderId="124" xfId="7" applyFont="1" applyFill="1" applyBorder="1"/>
    <xf numFmtId="43" fontId="114" fillId="0" borderId="0" xfId="7" applyFont="1" applyFill="1" applyAlignment="1"/>
    <xf numFmtId="164" fontId="113" fillId="0" borderId="124" xfId="7" applyNumberFormat="1" applyFont="1" applyFill="1" applyBorder="1" applyAlignment="1"/>
    <xf numFmtId="195" fontId="113" fillId="36" borderId="124" xfId="20965" applyNumberFormat="1" applyFont="1" applyFill="1" applyBorder="1"/>
    <xf numFmtId="164" fontId="114" fillId="0" borderId="124" xfId="7" applyNumberFormat="1" applyFont="1" applyBorder="1"/>
    <xf numFmtId="164" fontId="114" fillId="0" borderId="124" xfId="7" applyNumberFormat="1" applyFont="1" applyFill="1" applyBorder="1"/>
    <xf numFmtId="164" fontId="113" fillId="0" borderId="124" xfId="0" applyNumberFormat="1" applyFont="1" applyBorder="1" applyAlignment="1">
      <alignment horizontal="left" indent="1"/>
    </xf>
    <xf numFmtId="164" fontId="116" fillId="0" borderId="124" xfId="0" applyNumberFormat="1" applyFont="1" applyBorder="1" applyAlignment="1">
      <alignment horizontal="left" indent="1"/>
    </xf>
    <xf numFmtId="164" fontId="116" fillId="0" borderId="124" xfId="0" applyNumberFormat="1" applyFont="1" applyBorder="1"/>
    <xf numFmtId="164" fontId="113" fillId="0" borderId="124" xfId="7" applyNumberFormat="1" applyFont="1" applyBorder="1" applyAlignment="1">
      <alignment horizontal="left" indent="1"/>
    </xf>
    <xf numFmtId="164" fontId="116" fillId="0" borderId="124" xfId="7" applyNumberFormat="1" applyFont="1" applyBorder="1" applyAlignment="1">
      <alignment horizontal="left" indent="1"/>
    </xf>
    <xf numFmtId="194" fontId="113" fillId="0" borderId="124" xfId="7" applyNumberFormat="1" applyFont="1" applyFill="1" applyBorder="1"/>
    <xf numFmtId="164" fontId="116" fillId="0" borderId="67" xfId="0" applyNumberFormat="1" applyFont="1" applyBorder="1"/>
    <xf numFmtId="164" fontId="113" fillId="0" borderId="81" xfId="7" applyNumberFormat="1" applyFont="1" applyBorder="1"/>
    <xf numFmtId="164" fontId="113" fillId="0" borderId="18" xfId="7" applyNumberFormat="1" applyFont="1" applyBorder="1" applyAlignment="1">
      <alignment horizontal="left" indent="3"/>
    </xf>
    <xf numFmtId="164" fontId="95" fillId="0" borderId="124" xfId="7" applyNumberFormat="1" applyFont="1" applyFill="1" applyBorder="1"/>
    <xf numFmtId="164" fontId="116" fillId="0" borderId="18" xfId="7" applyNumberFormat="1" applyFont="1" applyBorder="1" applyAlignment="1">
      <alignment horizontal="left" indent="2"/>
    </xf>
    <xf numFmtId="164" fontId="116" fillId="0" borderId="18" xfId="7" applyNumberFormat="1" applyFont="1" applyFill="1" applyBorder="1" applyAlignment="1">
      <alignment horizontal="left" indent="2"/>
    </xf>
    <xf numFmtId="164" fontId="0" fillId="0" borderId="0" xfId="7" applyNumberFormat="1" applyFont="1" applyFill="1"/>
    <xf numFmtId="164" fontId="0" fillId="0" borderId="124" xfId="7" applyNumberFormat="1" applyFont="1" applyFill="1" applyBorder="1"/>
    <xf numFmtId="164" fontId="139" fillId="0" borderId="124" xfId="7" applyNumberFormat="1" applyFont="1" applyBorder="1"/>
    <xf numFmtId="164" fontId="0" fillId="0" borderId="0" xfId="7" applyNumberFormat="1" applyFont="1"/>
    <xf numFmtId="164" fontId="113" fillId="0" borderId="124" xfId="0" applyNumberFormat="1" applyFont="1" applyBorder="1"/>
    <xf numFmtId="164" fontId="113" fillId="0" borderId="125" xfId="0" applyNumberFormat="1" applyFont="1" applyBorder="1"/>
    <xf numFmtId="164" fontId="116" fillId="0" borderId="18" xfId="7" applyNumberFormat="1" applyFont="1" applyBorder="1" applyAlignment="1">
      <alignment horizontal="left" wrapText="1" indent="3"/>
    </xf>
    <xf numFmtId="1" fontId="113" fillId="0" borderId="124" xfId="0" applyNumberFormat="1" applyFont="1" applyBorder="1"/>
    <xf numFmtId="164" fontId="113" fillId="0" borderId="22" xfId="7" applyNumberFormat="1" applyFont="1" applyBorder="1"/>
    <xf numFmtId="164" fontId="113" fillId="0" borderId="124" xfId="0" applyNumberFormat="1" applyFont="1" applyBorder="1" applyAlignment="1">
      <alignment horizontal="left" vertical="center" wrapText="1"/>
    </xf>
    <xf numFmtId="164" fontId="113" fillId="0" borderId="124" xfId="7" applyNumberFormat="1" applyFont="1" applyBorder="1" applyAlignment="1">
      <alignment horizontal="center" vertical="center" textRotation="90" wrapText="1"/>
    </xf>
    <xf numFmtId="164" fontId="113" fillId="0" borderId="124" xfId="7" applyNumberFormat="1" applyFont="1" applyBorder="1" applyAlignment="1">
      <alignment horizontal="center" vertical="center" wrapText="1"/>
    </xf>
    <xf numFmtId="164" fontId="113" fillId="0" borderId="124" xfId="7" applyNumberFormat="1" applyFont="1" applyBorder="1" applyAlignment="1">
      <alignment horizontal="center" vertical="center"/>
    </xf>
    <xf numFmtId="164" fontId="116" fillId="0" borderId="124" xfId="0" applyNumberFormat="1" applyFont="1" applyBorder="1" applyAlignment="1">
      <alignment horizontal="left" vertical="center" wrapText="1"/>
    </xf>
    <xf numFmtId="164" fontId="95" fillId="0" borderId="124" xfId="7" applyNumberFormat="1" applyFont="1" applyBorder="1"/>
    <xf numFmtId="196" fontId="95" fillId="0" borderId="124" xfId="7" applyNumberFormat="1" applyFont="1" applyBorder="1"/>
    <xf numFmtId="196" fontId="103" fillId="0" borderId="124" xfId="7" applyNumberFormat="1" applyFont="1" applyBorder="1"/>
    <xf numFmtId="164" fontId="103" fillId="0" borderId="124" xfId="7" applyNumberFormat="1" applyFont="1" applyBorder="1"/>
    <xf numFmtId="164" fontId="118" fillId="0" borderId="124" xfId="0" applyNumberFormat="1" applyFont="1" applyBorder="1"/>
    <xf numFmtId="164" fontId="118" fillId="0" borderId="124" xfId="7" applyNumberFormat="1" applyFont="1" applyBorder="1"/>
    <xf numFmtId="9" fontId="118" fillId="0" borderId="124" xfId="20962" applyFont="1" applyBorder="1"/>
    <xf numFmtId="10" fontId="118" fillId="0" borderId="124" xfId="20962" applyNumberFormat="1" applyFont="1" applyBorder="1"/>
    <xf numFmtId="164" fontId="118" fillId="0" borderId="124" xfId="7" applyNumberFormat="1" applyFont="1" applyFill="1" applyBorder="1"/>
    <xf numFmtId="164" fontId="140" fillId="0" borderId="124" xfId="7" applyNumberFormat="1" applyFont="1" applyBorder="1"/>
    <xf numFmtId="9" fontId="140" fillId="0" borderId="124" xfId="20962" applyFont="1" applyBorder="1"/>
    <xf numFmtId="10" fontId="140" fillId="0" borderId="124" xfId="20962" applyNumberFormat="1" applyFont="1" applyBorder="1"/>
    <xf numFmtId="164" fontId="118" fillId="0" borderId="128" xfId="7" applyNumberFormat="1" applyFont="1" applyBorder="1"/>
    <xf numFmtId="164" fontId="118" fillId="0" borderId="128" xfId="7" applyNumberFormat="1" applyFont="1" applyFill="1" applyBorder="1"/>
    <xf numFmtId="10" fontId="118" fillId="0" borderId="128" xfId="20962" applyNumberFormat="1" applyFont="1" applyBorder="1"/>
    <xf numFmtId="9" fontId="140" fillId="0" borderId="124" xfId="20962" applyFont="1" applyFill="1" applyBorder="1"/>
    <xf numFmtId="164" fontId="140" fillId="0" borderId="124" xfId="7" applyNumberFormat="1" applyFont="1" applyFill="1" applyBorder="1"/>
    <xf numFmtId="9" fontId="118" fillId="0" borderId="124" xfId="20962" applyFont="1" applyFill="1" applyBorder="1"/>
    <xf numFmtId="164" fontId="4" fillId="0" borderId="96" xfId="7" applyNumberFormat="1" applyFont="1" applyBorder="1"/>
    <xf numFmtId="10" fontId="2" fillId="0" borderId="3" xfId="20962" applyNumberFormat="1" applyFont="1" applyBorder="1" applyAlignment="1" applyProtection="1">
      <alignment horizontal="right" vertical="center" wrapText="1"/>
      <protection locked="0"/>
    </xf>
    <xf numFmtId="164" fontId="4" fillId="0" borderId="96" xfId="7" applyNumberFormat="1" applyFont="1" applyBorder="1" applyAlignment="1">
      <alignment vertical="center"/>
    </xf>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2" xfId="0" applyFont="1" applyBorder="1" applyAlignment="1">
      <alignment horizontal="center" vertical="center"/>
    </xf>
    <xf numFmtId="0" fontId="94" fillId="0" borderId="30" xfId="0" applyFont="1" applyBorder="1" applyAlignment="1">
      <alignment horizontal="center" vertical="center"/>
    </xf>
    <xf numFmtId="0" fontId="94" fillId="0" borderId="133" xfId="0" applyFont="1" applyBorder="1" applyAlignment="1">
      <alignment horizontal="center" vertical="center"/>
    </xf>
    <xf numFmtId="0" fontId="135" fillId="0" borderId="132" xfId="0" applyFont="1" applyBorder="1" applyAlignment="1">
      <alignment horizontal="center"/>
    </xf>
    <xf numFmtId="0" fontId="135" fillId="0" borderId="30" xfId="0" applyFont="1" applyBorder="1" applyAlignment="1">
      <alignment horizontal="center"/>
    </xf>
    <xf numFmtId="0" fontId="135" fillId="0" borderId="133" xfId="0" applyFont="1" applyBorder="1" applyAlignment="1">
      <alignment horizontal="center"/>
    </xf>
    <xf numFmtId="164" fontId="0" fillId="0" borderId="125" xfId="7" applyNumberFormat="1" applyFont="1" applyBorder="1" applyAlignment="1">
      <alignment horizontal="center"/>
    </xf>
    <xf numFmtId="164" fontId="0" fillId="0" borderId="126" xfId="7" applyNumberFormat="1" applyFont="1" applyBorder="1" applyAlignment="1">
      <alignment horizontal="center"/>
    </xf>
    <xf numFmtId="164" fontId="0" fillId="0" borderId="127" xfId="7" applyNumberFormat="1" applyFont="1" applyBorder="1" applyAlignment="1">
      <alignment horizontal="center"/>
    </xf>
    <xf numFmtId="0" fontId="0" fillId="0" borderId="111" xfId="0" applyBorder="1" applyAlignment="1">
      <alignment horizontal="center" vertical="center"/>
    </xf>
    <xf numFmtId="0" fontId="122" fillId="0" borderId="112"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164" fontId="0" fillId="0" borderId="113" xfId="7" applyNumberFormat="1" applyFont="1" applyBorder="1" applyAlignment="1">
      <alignment horizontal="center"/>
    </xf>
    <xf numFmtId="164" fontId="0" fillId="0" borderId="114" xfId="7" applyNumberFormat="1" applyFont="1" applyBorder="1" applyAlignment="1">
      <alignment horizontal="center"/>
    </xf>
    <xf numFmtId="164" fontId="0" fillId="0" borderId="115"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28"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4" xfId="0" applyBorder="1" applyAlignment="1">
      <alignment horizontal="center" vertical="center"/>
    </xf>
    <xf numFmtId="0" fontId="0" fillId="0" borderId="124"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1" xfId="0" applyFont="1" applyBorder="1" applyAlignment="1">
      <alignment horizontal="left" vertical="center" wrapText="1"/>
    </xf>
    <xf numFmtId="0" fontId="116" fillId="0" borderId="102" xfId="0" applyFont="1" applyBorder="1" applyAlignment="1">
      <alignment horizontal="left" vertical="center" wrapText="1"/>
    </xf>
    <xf numFmtId="0" fontId="116" fillId="0" borderId="106" xfId="0" applyFont="1" applyBorder="1" applyAlignment="1">
      <alignment horizontal="left" vertical="center" wrapText="1"/>
    </xf>
    <xf numFmtId="0" fontId="116" fillId="0" borderId="107"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7" fillId="0" borderId="103" xfId="0" applyFont="1" applyBorder="1" applyAlignment="1">
      <alignment horizontal="center" vertical="center" wrapText="1"/>
    </xf>
    <xf numFmtId="0" fontId="117" fillId="0" borderId="104" xfId="0" applyFont="1" applyBorder="1" applyAlignment="1">
      <alignment horizontal="center" vertical="center" wrapText="1"/>
    </xf>
    <xf numFmtId="0" fontId="117" fillId="0" borderId="105"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4" xfId="0" applyFont="1" applyBorder="1" applyAlignment="1">
      <alignment horizontal="center" vertical="center" wrapText="1"/>
    </xf>
    <xf numFmtId="0" fontId="121" fillId="0" borderId="124" xfId="0" applyFont="1" applyBorder="1" applyAlignment="1">
      <alignment horizontal="center" vertical="center"/>
    </xf>
    <xf numFmtId="0" fontId="121" fillId="0" borderId="103" xfId="0" applyFont="1" applyBorder="1" applyAlignment="1">
      <alignment horizontal="center" vertical="center"/>
    </xf>
    <xf numFmtId="0" fontId="121" fillId="0" borderId="105"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4" xfId="0" applyFont="1" applyBorder="1" applyAlignment="1">
      <alignment horizontal="center" vertical="center" wrapText="1"/>
    </xf>
    <xf numFmtId="0" fontId="113" fillId="0" borderId="127"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5" xfId="0" applyFont="1" applyBorder="1" applyAlignment="1">
      <alignment horizontal="center" vertical="center" wrapText="1"/>
    </xf>
    <xf numFmtId="0" fontId="113" fillId="0" borderId="126"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3" xfId="0" applyFont="1" applyBorder="1" applyAlignment="1">
      <alignment horizontal="left" vertical="top" wrapText="1"/>
    </xf>
    <xf numFmtId="0" fontId="116" fillId="0" borderId="100" xfId="0" applyFont="1" applyBorder="1" applyAlignment="1">
      <alignment horizontal="left" vertical="top" wrapText="1"/>
    </xf>
    <xf numFmtId="0" fontId="116" fillId="0" borderId="131" xfId="0" applyFont="1" applyBorder="1" applyAlignment="1">
      <alignment horizontal="left" vertical="top" wrapText="1"/>
    </xf>
    <xf numFmtId="0" fontId="116" fillId="0" borderId="86"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3" xfId="0" applyFont="1" applyBorder="1" applyAlignment="1">
      <alignment horizontal="center" vertical="top" wrapText="1"/>
    </xf>
    <xf numFmtId="0" fontId="113" fillId="0" borderId="104" xfId="0" applyFont="1" applyBorder="1" applyAlignment="1">
      <alignment horizontal="center" vertical="top" wrapText="1"/>
    </xf>
    <xf numFmtId="0" fontId="113" fillId="0" borderId="126" xfId="0" applyFont="1" applyBorder="1" applyAlignment="1">
      <alignment horizontal="center" vertical="top" wrapText="1"/>
    </xf>
    <xf numFmtId="0" fontId="113" fillId="0" borderId="127" xfId="0" applyFont="1" applyBorder="1" applyAlignment="1">
      <alignment horizontal="center" vertical="top" wrapText="1"/>
    </xf>
    <xf numFmtId="0" fontId="133" fillId="0" borderId="116" xfId="0" applyFont="1" applyBorder="1" applyAlignment="1">
      <alignment horizontal="left" vertical="top" wrapText="1"/>
    </xf>
    <xf numFmtId="0" fontId="133" fillId="0" borderId="117" xfId="0" applyFont="1" applyBorder="1" applyAlignment="1">
      <alignment horizontal="left" vertical="top" wrapText="1"/>
    </xf>
    <xf numFmtId="0" fontId="119" fillId="0" borderId="103" xfId="0" applyFont="1" applyBorder="1" applyAlignment="1">
      <alignment horizontal="center" vertical="center"/>
    </xf>
    <xf numFmtId="0" fontId="119" fillId="0" borderId="105"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4" xfId="0" applyFont="1" applyBorder="1" applyAlignment="1">
      <alignment horizontal="center" vertical="center" wrapText="1"/>
    </xf>
    <xf numFmtId="0" fontId="118" fillId="0" borderId="128"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Policies\NBG%20Reporting\ISFR%20Quarterly\2023\Transparency\Q%204\ALM%20READY\PG1-BCD-I-QQ-20231231.xlsx" TargetMode="External"/><Relationship Id="rId1" Type="http://schemas.openxmlformats.org/officeDocument/2006/relationships/externalLinkPath" Target="PG1-BCD-I-QQ-2023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
      <sheetName val="1. key ratios"/>
      <sheetName val="2. SOFP"/>
      <sheetName val="3. SO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sheetData sheetId="1">
        <row r="9">
          <cell r="C9">
            <v>285729116.28999996</v>
          </cell>
        </row>
      </sheetData>
      <sheetData sheetId="2">
        <row r="69">
          <cell r="E69">
            <v>2466006520.2900057</v>
          </cell>
        </row>
      </sheetData>
      <sheetData sheetId="3"/>
      <sheetData sheetId="4"/>
      <sheetData sheetId="5"/>
      <sheetData sheetId="6"/>
      <sheetData sheetId="7"/>
      <sheetData sheetId="8"/>
      <sheetData sheetId="9">
        <row r="15">
          <cell r="C15">
            <v>19302841.530000001</v>
          </cell>
        </row>
      </sheetData>
      <sheetData sheetId="10"/>
      <sheetData sheetId="11"/>
      <sheetData sheetId="12"/>
      <sheetData sheetId="13"/>
      <sheetData sheetId="14"/>
      <sheetData sheetId="15"/>
      <sheetData sheetId="16">
        <row r="21">
          <cell r="E21">
            <v>4618926.49</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B20" sqref="B20"/>
    </sheetView>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107"/>
      <c r="B1" s="143" t="s">
        <v>223</v>
      </c>
      <c r="C1" s="107"/>
    </row>
    <row r="2" spans="1:3">
      <c r="A2" s="144">
        <v>1</v>
      </c>
      <c r="B2" s="260" t="s">
        <v>224</v>
      </c>
      <c r="C2" s="588" t="s">
        <v>712</v>
      </c>
    </row>
    <row r="3" spans="1:3" ht="15">
      <c r="A3" s="144">
        <v>2</v>
      </c>
      <c r="B3" s="261" t="s">
        <v>220</v>
      </c>
      <c r="C3" s="590" t="s">
        <v>713</v>
      </c>
    </row>
    <row r="4" spans="1:3">
      <c r="A4" s="144">
        <v>3</v>
      </c>
      <c r="B4" s="262" t="s">
        <v>225</v>
      </c>
      <c r="C4" s="588" t="s">
        <v>714</v>
      </c>
    </row>
    <row r="5" spans="1:3">
      <c r="A5" s="145">
        <v>4</v>
      </c>
      <c r="B5" s="263" t="s">
        <v>221</v>
      </c>
      <c r="C5" s="589" t="s">
        <v>715</v>
      </c>
    </row>
    <row r="6" spans="1:3" s="146" customFormat="1" ht="45.75" customHeight="1">
      <c r="A6" s="702" t="s">
        <v>297</v>
      </c>
      <c r="B6" s="703"/>
      <c r="C6" s="703"/>
    </row>
    <row r="7" spans="1:3">
      <c r="A7" s="147" t="s">
        <v>29</v>
      </c>
      <c r="B7" s="143" t="s">
        <v>222</v>
      </c>
    </row>
    <row r="8" spans="1:3">
      <c r="A8" s="107">
        <v>1</v>
      </c>
      <c r="B8" s="178" t="s">
        <v>20</v>
      </c>
    </row>
    <row r="9" spans="1:3">
      <c r="A9" s="107">
        <v>2</v>
      </c>
      <c r="B9" s="179" t="s">
        <v>21</v>
      </c>
    </row>
    <row r="10" spans="1:3">
      <c r="A10" s="107">
        <v>3</v>
      </c>
      <c r="B10" s="179" t="s">
        <v>22</v>
      </c>
    </row>
    <row r="11" spans="1:3">
      <c r="A11" s="107">
        <v>4</v>
      </c>
      <c r="B11" s="179" t="s">
        <v>23</v>
      </c>
    </row>
    <row r="12" spans="1:3">
      <c r="A12" s="107">
        <v>5</v>
      </c>
      <c r="B12" s="179" t="s">
        <v>24</v>
      </c>
    </row>
    <row r="13" spans="1:3">
      <c r="A13" s="107">
        <v>6</v>
      </c>
      <c r="B13" s="180" t="s">
        <v>232</v>
      </c>
    </row>
    <row r="14" spans="1:3">
      <c r="A14" s="107">
        <v>7</v>
      </c>
      <c r="B14" s="179" t="s">
        <v>226</v>
      </c>
    </row>
    <row r="15" spans="1:3">
      <c r="A15" s="107">
        <v>8</v>
      </c>
      <c r="B15" s="179" t="s">
        <v>227</v>
      </c>
    </row>
    <row r="16" spans="1:3">
      <c r="A16" s="107">
        <v>9</v>
      </c>
      <c r="B16" s="179" t="s">
        <v>25</v>
      </c>
    </row>
    <row r="17" spans="1:2">
      <c r="A17" s="259" t="s">
        <v>296</v>
      </c>
      <c r="B17" s="258" t="s">
        <v>283</v>
      </c>
    </row>
    <row r="18" spans="1:2">
      <c r="A18" s="107">
        <v>10</v>
      </c>
      <c r="B18" s="179" t="s">
        <v>26</v>
      </c>
    </row>
    <row r="19" spans="1:2">
      <c r="A19" s="107">
        <v>11</v>
      </c>
      <c r="B19" s="180" t="s">
        <v>228</v>
      </c>
    </row>
    <row r="20" spans="1:2">
      <c r="A20" s="107">
        <v>12</v>
      </c>
      <c r="B20" s="180" t="s">
        <v>27</v>
      </c>
    </row>
    <row r="21" spans="1:2">
      <c r="A21" s="310">
        <v>13</v>
      </c>
      <c r="B21" s="311" t="s">
        <v>229</v>
      </c>
    </row>
    <row r="22" spans="1:2">
      <c r="A22" s="310">
        <v>14</v>
      </c>
      <c r="B22" s="312" t="s">
        <v>254</v>
      </c>
    </row>
    <row r="23" spans="1:2">
      <c r="A23" s="310">
        <v>15</v>
      </c>
      <c r="B23" s="313" t="s">
        <v>28</v>
      </c>
    </row>
    <row r="24" spans="1:2">
      <c r="A24" s="310">
        <v>15.1</v>
      </c>
      <c r="B24" s="314" t="s">
        <v>310</v>
      </c>
    </row>
    <row r="25" spans="1:2">
      <c r="A25" s="310">
        <v>16</v>
      </c>
      <c r="B25" s="314" t="s">
        <v>374</v>
      </c>
    </row>
    <row r="26" spans="1:2">
      <c r="A26" s="310">
        <v>17</v>
      </c>
      <c r="B26" s="314" t="s">
        <v>415</v>
      </c>
    </row>
    <row r="27" spans="1:2">
      <c r="A27" s="310">
        <v>18</v>
      </c>
      <c r="B27" s="314" t="s">
        <v>705</v>
      </c>
    </row>
    <row r="28" spans="1:2">
      <c r="A28" s="310">
        <v>19</v>
      </c>
      <c r="B28" s="314" t="s">
        <v>706</v>
      </c>
    </row>
    <row r="29" spans="1:2">
      <c r="A29" s="310">
        <v>20</v>
      </c>
      <c r="B29" s="377" t="s">
        <v>707</v>
      </c>
    </row>
    <row r="30" spans="1:2">
      <c r="A30" s="310">
        <v>21</v>
      </c>
      <c r="B30" s="314" t="s">
        <v>531</v>
      </c>
    </row>
    <row r="31" spans="1:2">
      <c r="A31" s="310">
        <v>22</v>
      </c>
      <c r="B31" s="314" t="s">
        <v>708</v>
      </c>
    </row>
    <row r="32" spans="1:2">
      <c r="A32" s="310">
        <v>23</v>
      </c>
      <c r="B32" s="314" t="s">
        <v>709</v>
      </c>
    </row>
    <row r="33" spans="1:2">
      <c r="A33" s="310">
        <v>24</v>
      </c>
      <c r="B33" s="314" t="s">
        <v>710</v>
      </c>
    </row>
    <row r="34" spans="1:2">
      <c r="A34" s="310">
        <v>25</v>
      </c>
      <c r="B34" s="314" t="s">
        <v>416</v>
      </c>
    </row>
    <row r="35" spans="1:2">
      <c r="A35" s="310">
        <v>26</v>
      </c>
      <c r="B35" s="314" t="s">
        <v>555</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F3809DEA-E2F0-470D-B340-D42478440AB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15" sqref="C15"/>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30</v>
      </c>
      <c r="B1" s="3" t="str">
        <f>'Info '!C2</f>
        <v>JSC "CREDOBANK"</v>
      </c>
    </row>
    <row r="2" spans="1:3" s="2" customFormat="1" ht="15.75" customHeight="1">
      <c r="A2" s="2" t="s">
        <v>31</v>
      </c>
      <c r="B2" s="330">
        <f>'1. key ratios '!B2</f>
        <v>45291</v>
      </c>
    </row>
    <row r="3" spans="1:3" s="2" customFormat="1" ht="15.75" customHeight="1"/>
    <row r="4" spans="1:3" ht="13.8" thickBot="1">
      <c r="A4" s="4" t="s">
        <v>144</v>
      </c>
      <c r="B4" s="89" t="s">
        <v>143</v>
      </c>
    </row>
    <row r="5" spans="1:3">
      <c r="A5" s="47" t="s">
        <v>6</v>
      </c>
      <c r="B5" s="48"/>
      <c r="C5" s="49" t="s">
        <v>35</v>
      </c>
    </row>
    <row r="6" spans="1:3">
      <c r="A6" s="50">
        <v>1</v>
      </c>
      <c r="B6" s="51" t="s">
        <v>142</v>
      </c>
      <c r="C6" s="52">
        <f>SUM(C7:C11)</f>
        <v>306919552.98002702</v>
      </c>
    </row>
    <row r="7" spans="1:3">
      <c r="A7" s="50">
        <v>2</v>
      </c>
      <c r="B7" s="53" t="s">
        <v>141</v>
      </c>
      <c r="C7" s="54">
        <v>5210230</v>
      </c>
    </row>
    <row r="8" spans="1:3">
      <c r="A8" s="50">
        <v>3</v>
      </c>
      <c r="B8" s="55" t="s">
        <v>140</v>
      </c>
      <c r="C8" s="54">
        <v>37102057.82</v>
      </c>
    </row>
    <row r="9" spans="1:3">
      <c r="A9" s="50">
        <v>4</v>
      </c>
      <c r="B9" s="55" t="s">
        <v>139</v>
      </c>
      <c r="C9" s="54"/>
    </row>
    <row r="10" spans="1:3">
      <c r="A10" s="50">
        <v>5</v>
      </c>
      <c r="B10" s="55" t="s">
        <v>138</v>
      </c>
      <c r="C10" s="54"/>
    </row>
    <row r="11" spans="1:3">
      <c r="A11" s="50">
        <v>6</v>
      </c>
      <c r="B11" s="56" t="s">
        <v>137</v>
      </c>
      <c r="C11" s="54">
        <v>264607265.16002703</v>
      </c>
    </row>
    <row r="12" spans="1:3" s="29" customFormat="1">
      <c r="A12" s="50">
        <v>7</v>
      </c>
      <c r="B12" s="51" t="s">
        <v>136</v>
      </c>
      <c r="C12" s="57">
        <f>SUM(C13:C28)</f>
        <v>24667339.510000005</v>
      </c>
    </row>
    <row r="13" spans="1:3" s="29" customFormat="1">
      <c r="A13" s="50">
        <v>8</v>
      </c>
      <c r="B13" s="58" t="s">
        <v>135</v>
      </c>
      <c r="C13" s="59"/>
    </row>
    <row r="14" spans="1:3" s="29" customFormat="1" ht="26.4">
      <c r="A14" s="50">
        <v>9</v>
      </c>
      <c r="B14" s="60" t="s">
        <v>134</v>
      </c>
      <c r="C14" s="59"/>
    </row>
    <row r="15" spans="1:3" s="29" customFormat="1">
      <c r="A15" s="50">
        <v>10</v>
      </c>
      <c r="B15" s="61" t="s">
        <v>133</v>
      </c>
      <c r="C15" s="601">
        <v>24667339.510000005</v>
      </c>
    </row>
    <row r="16" spans="1:3" s="29" customFormat="1">
      <c r="A16" s="50">
        <v>11</v>
      </c>
      <c r="B16" s="62" t="s">
        <v>132</v>
      </c>
      <c r="C16" s="59"/>
    </row>
    <row r="17" spans="1:3" s="29" customFormat="1">
      <c r="A17" s="50">
        <v>12</v>
      </c>
      <c r="B17" s="61" t="s">
        <v>131</v>
      </c>
      <c r="C17" s="59"/>
    </row>
    <row r="18" spans="1:3" s="29" customFormat="1">
      <c r="A18" s="50">
        <v>13</v>
      </c>
      <c r="B18" s="61" t="s">
        <v>130</v>
      </c>
      <c r="C18" s="59"/>
    </row>
    <row r="19" spans="1:3" s="29" customFormat="1">
      <c r="A19" s="50">
        <v>14</v>
      </c>
      <c r="B19" s="61" t="s">
        <v>129</v>
      </c>
      <c r="C19" s="59"/>
    </row>
    <row r="20" spans="1:3" s="29" customFormat="1">
      <c r="A20" s="50">
        <v>15</v>
      </c>
      <c r="B20" s="61" t="s">
        <v>128</v>
      </c>
      <c r="C20" s="59"/>
    </row>
    <row r="21" spans="1:3" s="29" customFormat="1" ht="26.4">
      <c r="A21" s="50">
        <v>16</v>
      </c>
      <c r="B21" s="60" t="s">
        <v>127</v>
      </c>
      <c r="C21" s="59"/>
    </row>
    <row r="22" spans="1:3" s="29" customFormat="1">
      <c r="A22" s="50">
        <v>17</v>
      </c>
      <c r="B22" s="63" t="s">
        <v>126</v>
      </c>
      <c r="C22" s="59"/>
    </row>
    <row r="23" spans="1:3" s="29" customFormat="1">
      <c r="A23" s="50">
        <v>18</v>
      </c>
      <c r="B23" s="550" t="s">
        <v>556</v>
      </c>
      <c r="C23" s="379"/>
    </row>
    <row r="24" spans="1:3" s="29" customFormat="1">
      <c r="A24" s="50">
        <v>19</v>
      </c>
      <c r="B24" s="60" t="s">
        <v>125</v>
      </c>
      <c r="C24" s="59"/>
    </row>
    <row r="25" spans="1:3" s="29" customFormat="1" ht="26.4">
      <c r="A25" s="50">
        <v>20</v>
      </c>
      <c r="B25" s="60" t="s">
        <v>102</v>
      </c>
      <c r="C25" s="59"/>
    </row>
    <row r="26" spans="1:3" s="29" customFormat="1">
      <c r="A26" s="50">
        <v>21</v>
      </c>
      <c r="B26" s="62" t="s">
        <v>124</v>
      </c>
      <c r="C26" s="59"/>
    </row>
    <row r="27" spans="1:3" s="29" customFormat="1">
      <c r="A27" s="50">
        <v>22</v>
      </c>
      <c r="B27" s="62" t="s">
        <v>123</v>
      </c>
      <c r="C27" s="59"/>
    </row>
    <row r="28" spans="1:3" s="29" customFormat="1">
      <c r="A28" s="50">
        <v>23</v>
      </c>
      <c r="B28" s="62" t="s">
        <v>122</v>
      </c>
      <c r="C28" s="59"/>
    </row>
    <row r="29" spans="1:3" s="29" customFormat="1">
      <c r="A29" s="50">
        <v>24</v>
      </c>
      <c r="B29" s="64" t="s">
        <v>121</v>
      </c>
      <c r="C29" s="57">
        <f>C6-C12</f>
        <v>282252213.47002703</v>
      </c>
    </row>
    <row r="30" spans="1:3" s="29" customFormat="1">
      <c r="A30" s="65"/>
      <c r="B30" s="66"/>
      <c r="C30" s="59"/>
    </row>
    <row r="31" spans="1:3" s="29" customFormat="1">
      <c r="A31" s="65">
        <v>25</v>
      </c>
      <c r="B31" s="64" t="s">
        <v>120</v>
      </c>
      <c r="C31" s="57">
        <f>C32+C35</f>
        <v>0</v>
      </c>
    </row>
    <row r="32" spans="1:3" s="29" customFormat="1">
      <c r="A32" s="65">
        <v>26</v>
      </c>
      <c r="B32" s="55" t="s">
        <v>119</v>
      </c>
      <c r="C32" s="67">
        <f>C33+C34</f>
        <v>0</v>
      </c>
    </row>
    <row r="33" spans="1:3" s="29" customFormat="1">
      <c r="A33" s="65">
        <v>27</v>
      </c>
      <c r="B33" s="68" t="s">
        <v>193</v>
      </c>
      <c r="C33" s="59"/>
    </row>
    <row r="34" spans="1:3" s="29" customFormat="1">
      <c r="A34" s="65">
        <v>28</v>
      </c>
      <c r="B34" s="68" t="s">
        <v>118</v>
      </c>
      <c r="C34" s="59"/>
    </row>
    <row r="35" spans="1:3" s="29" customFormat="1">
      <c r="A35" s="65">
        <v>29</v>
      </c>
      <c r="B35" s="55" t="s">
        <v>117</v>
      </c>
      <c r="C35" s="59"/>
    </row>
    <row r="36" spans="1:3" s="29" customFormat="1">
      <c r="A36" s="65">
        <v>30</v>
      </c>
      <c r="B36" s="64" t="s">
        <v>116</v>
      </c>
      <c r="C36" s="57">
        <f>SUM(C37:C41)</f>
        <v>0</v>
      </c>
    </row>
    <row r="37" spans="1:3" s="29" customFormat="1">
      <c r="A37" s="65">
        <v>31</v>
      </c>
      <c r="B37" s="60" t="s">
        <v>115</v>
      </c>
      <c r="C37" s="59"/>
    </row>
    <row r="38" spans="1:3" s="29" customFormat="1">
      <c r="A38" s="65">
        <v>32</v>
      </c>
      <c r="B38" s="61" t="s">
        <v>114</v>
      </c>
      <c r="C38" s="59"/>
    </row>
    <row r="39" spans="1:3" s="29" customFormat="1">
      <c r="A39" s="65">
        <v>33</v>
      </c>
      <c r="B39" s="60" t="s">
        <v>113</v>
      </c>
      <c r="C39" s="59"/>
    </row>
    <row r="40" spans="1:3" s="29" customFormat="1" ht="26.4">
      <c r="A40" s="65">
        <v>34</v>
      </c>
      <c r="B40" s="60" t="s">
        <v>102</v>
      </c>
      <c r="C40" s="59"/>
    </row>
    <row r="41" spans="1:3" s="29" customFormat="1">
      <c r="A41" s="65">
        <v>35</v>
      </c>
      <c r="B41" s="62" t="s">
        <v>112</v>
      </c>
      <c r="C41" s="59"/>
    </row>
    <row r="42" spans="1:3" s="29" customFormat="1">
      <c r="A42" s="65">
        <v>36</v>
      </c>
      <c r="B42" s="64" t="s">
        <v>111</v>
      </c>
      <c r="C42" s="57">
        <f>C31-C36</f>
        <v>0</v>
      </c>
    </row>
    <row r="43" spans="1:3" s="29" customFormat="1">
      <c r="A43" s="65"/>
      <c r="B43" s="66"/>
      <c r="C43" s="59"/>
    </row>
    <row r="44" spans="1:3" s="29" customFormat="1">
      <c r="A44" s="65">
        <v>37</v>
      </c>
      <c r="B44" s="69" t="s">
        <v>110</v>
      </c>
      <c r="C44" s="57">
        <f>SUM(C45:C47)</f>
        <v>94580722</v>
      </c>
    </row>
    <row r="45" spans="1:3" s="29" customFormat="1">
      <c r="A45" s="65">
        <v>38</v>
      </c>
      <c r="B45" s="55" t="s">
        <v>109</v>
      </c>
      <c r="C45" s="59">
        <v>94580722</v>
      </c>
    </row>
    <row r="46" spans="1:3" s="29" customFormat="1">
      <c r="A46" s="65">
        <v>39</v>
      </c>
      <c r="B46" s="55" t="s">
        <v>108</v>
      </c>
      <c r="C46" s="59"/>
    </row>
    <row r="47" spans="1:3" s="29" customFormat="1">
      <c r="A47" s="65">
        <v>40</v>
      </c>
      <c r="B47" s="55" t="s">
        <v>107</v>
      </c>
      <c r="C47" s="59"/>
    </row>
    <row r="48" spans="1:3" s="29" customFormat="1">
      <c r="A48" s="65">
        <v>41</v>
      </c>
      <c r="B48" s="69" t="s">
        <v>106</v>
      </c>
      <c r="C48" s="57">
        <f>SUM(C49:C52)</f>
        <v>0</v>
      </c>
    </row>
    <row r="49" spans="1:3" s="29" customFormat="1">
      <c r="A49" s="65">
        <v>42</v>
      </c>
      <c r="B49" s="60" t="s">
        <v>105</v>
      </c>
      <c r="C49" s="59"/>
    </row>
    <row r="50" spans="1:3" s="29" customFormat="1">
      <c r="A50" s="65">
        <v>43</v>
      </c>
      <c r="B50" s="61" t="s">
        <v>104</v>
      </c>
      <c r="C50" s="59"/>
    </row>
    <row r="51" spans="1:3" s="29" customFormat="1">
      <c r="A51" s="65">
        <v>44</v>
      </c>
      <c r="B51" s="60" t="s">
        <v>103</v>
      </c>
      <c r="C51" s="59"/>
    </row>
    <row r="52" spans="1:3" s="29" customFormat="1" ht="26.4">
      <c r="A52" s="65">
        <v>45</v>
      </c>
      <c r="B52" s="60" t="s">
        <v>102</v>
      </c>
      <c r="C52" s="59"/>
    </row>
    <row r="53" spans="1:3" s="29" customFormat="1" ht="13.8" thickBot="1">
      <c r="A53" s="65">
        <v>46</v>
      </c>
      <c r="B53" s="70" t="s">
        <v>101</v>
      </c>
      <c r="C53" s="71">
        <f>C44-C48</f>
        <v>94580722</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21875" defaultRowHeight="13.8"/>
  <cols>
    <col min="1" max="1" width="9.44140625" style="170" bestFit="1" customWidth="1"/>
    <col min="2" max="2" width="59" style="170" customWidth="1"/>
    <col min="3" max="3" width="16.77734375" style="170" bestFit="1" customWidth="1"/>
    <col min="4" max="4" width="14.33203125" style="170" bestFit="1" customWidth="1"/>
    <col min="5" max="16384" width="9.21875" style="170"/>
  </cols>
  <sheetData>
    <row r="1" spans="1:4">
      <c r="A1" s="168" t="s">
        <v>30</v>
      </c>
      <c r="B1" s="3" t="str">
        <f>'Info '!C2</f>
        <v>JSC "CREDOBANK"</v>
      </c>
    </row>
    <row r="2" spans="1:4" s="168" customFormat="1" ht="15.75" customHeight="1">
      <c r="A2" s="168" t="s">
        <v>31</v>
      </c>
      <c r="B2" s="330">
        <f>'1. key ratios '!B2</f>
        <v>45291</v>
      </c>
    </row>
    <row r="3" spans="1:4" s="168" customFormat="1" ht="15.75" customHeight="1"/>
    <row r="4" spans="1:4" ht="14.4" thickBot="1">
      <c r="A4" s="170" t="s">
        <v>282</v>
      </c>
      <c r="B4" s="248" t="s">
        <v>283</v>
      </c>
    </row>
    <row r="5" spans="1:4" s="175" customFormat="1" ht="12.75" customHeight="1">
      <c r="A5" s="308"/>
      <c r="B5" s="309" t="s">
        <v>286</v>
      </c>
      <c r="C5" s="241" t="s">
        <v>284</v>
      </c>
      <c r="D5" s="242" t="s">
        <v>285</v>
      </c>
    </row>
    <row r="6" spans="1:4" s="249" customFormat="1">
      <c r="A6" s="243">
        <v>1</v>
      </c>
      <c r="B6" s="304" t="s">
        <v>287</v>
      </c>
      <c r="C6" s="304"/>
      <c r="D6" s="244"/>
    </row>
    <row r="7" spans="1:4" s="249" customFormat="1">
      <c r="A7" s="245" t="s">
        <v>273</v>
      </c>
      <c r="B7" s="305" t="s">
        <v>288</v>
      </c>
      <c r="C7" s="297">
        <v>4.4999999999999998E-2</v>
      </c>
      <c r="D7" s="602">
        <f>C7*'5. RWA '!$C$13</f>
        <v>96524266.574914753</v>
      </c>
    </row>
    <row r="8" spans="1:4" s="249" customFormat="1">
      <c r="A8" s="245" t="s">
        <v>274</v>
      </c>
      <c r="B8" s="305" t="s">
        <v>289</v>
      </c>
      <c r="C8" s="298">
        <v>0.06</v>
      </c>
      <c r="D8" s="602">
        <f>C8*'5. RWA '!$C$13</f>
        <v>128699022.09988634</v>
      </c>
    </row>
    <row r="9" spans="1:4" s="249" customFormat="1">
      <c r="A9" s="245" t="s">
        <v>275</v>
      </c>
      <c r="B9" s="305" t="s">
        <v>290</v>
      </c>
      <c r="C9" s="298">
        <v>0.08</v>
      </c>
      <c r="D9" s="602">
        <f>C9*'5. RWA '!$C$13</f>
        <v>171598696.13318181</v>
      </c>
    </row>
    <row r="10" spans="1:4" s="249" customFormat="1">
      <c r="A10" s="243" t="s">
        <v>276</v>
      </c>
      <c r="B10" s="304" t="s">
        <v>291</v>
      </c>
      <c r="C10" s="299"/>
      <c r="D10" s="603"/>
    </row>
    <row r="11" spans="1:4" s="250" customFormat="1">
      <c r="A11" s="246" t="s">
        <v>277</v>
      </c>
      <c r="B11" s="296" t="s">
        <v>357</v>
      </c>
      <c r="C11" s="300">
        <v>2.5000000000000001E-2</v>
      </c>
      <c r="D11" s="602">
        <f>C11*'5. RWA '!$C$13</f>
        <v>53624592.541619316</v>
      </c>
    </row>
    <row r="12" spans="1:4" s="250" customFormat="1">
      <c r="A12" s="246" t="s">
        <v>278</v>
      </c>
      <c r="B12" s="296" t="s">
        <v>292</v>
      </c>
      <c r="C12" s="300">
        <v>0</v>
      </c>
      <c r="D12" s="602">
        <f>C12*'5. RWA '!$C$13</f>
        <v>0</v>
      </c>
    </row>
    <row r="13" spans="1:4" s="250" customFormat="1">
      <c r="A13" s="246" t="s">
        <v>279</v>
      </c>
      <c r="B13" s="296" t="s">
        <v>293</v>
      </c>
      <c r="C13" s="300">
        <v>0</v>
      </c>
      <c r="D13" s="602">
        <f>C13*'5. RWA '!$C$13</f>
        <v>0</v>
      </c>
    </row>
    <row r="14" spans="1:4" s="250" customFormat="1">
      <c r="A14" s="243" t="s">
        <v>280</v>
      </c>
      <c r="B14" s="304" t="s">
        <v>354</v>
      </c>
      <c r="C14" s="301"/>
      <c r="D14" s="603"/>
    </row>
    <row r="15" spans="1:4" s="250" customFormat="1">
      <c r="A15" s="246">
        <v>3.1</v>
      </c>
      <c r="B15" s="296" t="s">
        <v>298</v>
      </c>
      <c r="C15" s="300">
        <v>3.4272271404589903E-2</v>
      </c>
      <c r="D15" s="602">
        <f>C15*'5. RWA '!$C$13</f>
        <v>73513463.581876978</v>
      </c>
    </row>
    <row r="16" spans="1:4" s="250" customFormat="1">
      <c r="A16" s="246">
        <v>3.2</v>
      </c>
      <c r="B16" s="296" t="s">
        <v>299</v>
      </c>
      <c r="C16" s="300">
        <v>4.0199255948126386E-2</v>
      </c>
      <c r="D16" s="602">
        <f>C16*'5. RWA '!$C$13</f>
        <v>86226748.827781767</v>
      </c>
    </row>
    <row r="17" spans="1:4" s="249" customFormat="1">
      <c r="A17" s="246">
        <v>3.3</v>
      </c>
      <c r="B17" s="296" t="s">
        <v>300</v>
      </c>
      <c r="C17" s="300">
        <v>4.7997919821200698E-2</v>
      </c>
      <c r="D17" s="602">
        <f>C17*'5. RWA '!$C$13</f>
        <v>102954755.73028803</v>
      </c>
    </row>
    <row r="18" spans="1:4" s="175" customFormat="1" ht="12.75" customHeight="1">
      <c r="A18" s="306"/>
      <c r="B18" s="307" t="s">
        <v>353</v>
      </c>
      <c r="C18" s="302" t="s">
        <v>284</v>
      </c>
      <c r="D18" s="604" t="s">
        <v>285</v>
      </c>
    </row>
    <row r="19" spans="1:4" s="249" customFormat="1">
      <c r="A19" s="247">
        <v>4</v>
      </c>
      <c r="B19" s="296" t="s">
        <v>294</v>
      </c>
      <c r="C19" s="300">
        <f>C7+C11+C12+C13+C15</f>
        <v>0.10427227140458992</v>
      </c>
      <c r="D19" s="602">
        <f>C19*'5. RWA '!$C$13</f>
        <v>223662322.69841108</v>
      </c>
    </row>
    <row r="20" spans="1:4" s="249" customFormat="1">
      <c r="A20" s="247">
        <v>5</v>
      </c>
      <c r="B20" s="296" t="s">
        <v>91</v>
      </c>
      <c r="C20" s="300">
        <f>C8+C11+C12+C13+C16</f>
        <v>0.12519925594812636</v>
      </c>
      <c r="D20" s="602">
        <f>C20*'5. RWA '!$C$13</f>
        <v>268550363.4692874</v>
      </c>
    </row>
    <row r="21" spans="1:4" s="249" customFormat="1" ht="14.4" thickBot="1">
      <c r="A21" s="251" t="s">
        <v>281</v>
      </c>
      <c r="B21" s="252" t="s">
        <v>295</v>
      </c>
      <c r="C21" s="303">
        <f>C9+C11+C12+C13+C17</f>
        <v>0.1529979198212007</v>
      </c>
      <c r="D21" s="605">
        <f>C21*'5. RWA '!$C$13</f>
        <v>328178044.40508914</v>
      </c>
    </row>
    <row r="23" spans="1:4" ht="53.4">
      <c r="B23" s="210" t="s">
        <v>356</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90" zoomScaleNormal="90" workbookViewId="0">
      <pane xSplit="1" ySplit="5" topLeftCell="B34" activePane="bottomRight" state="frozen"/>
      <selection activeCell="B47" sqref="B47"/>
      <selection pane="topRight" activeCell="B47" sqref="B47"/>
      <selection pane="bottomLeft" activeCell="B47" sqref="B47"/>
      <selection pane="bottomRight" activeCell="C50" sqref="C50"/>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30</v>
      </c>
      <c r="B1" s="3" t="str">
        <f>'Info '!C2</f>
        <v>JSC "CREDOBANK"</v>
      </c>
      <c r="E1" s="4"/>
      <c r="F1" s="4"/>
    </row>
    <row r="2" spans="1:6" s="2" customFormat="1" ht="15.75" customHeight="1">
      <c r="A2" s="2" t="s">
        <v>31</v>
      </c>
      <c r="B2" s="330">
        <f>'1. key ratios '!B2</f>
        <v>45291</v>
      </c>
    </row>
    <row r="3" spans="1:6" s="2" customFormat="1" ht="15.75" customHeight="1">
      <c r="A3" s="72"/>
    </row>
    <row r="4" spans="1:6" s="2" customFormat="1" ht="15.75" customHeight="1" thickBot="1">
      <c r="A4" s="2" t="s">
        <v>47</v>
      </c>
      <c r="B4" s="162" t="s">
        <v>179</v>
      </c>
      <c r="D4" s="20" t="s">
        <v>35</v>
      </c>
    </row>
    <row r="5" spans="1:6" ht="26.4">
      <c r="A5" s="73" t="s">
        <v>6</v>
      </c>
      <c r="B5" s="182" t="s">
        <v>219</v>
      </c>
      <c r="C5" s="74" t="s">
        <v>663</v>
      </c>
      <c r="D5" s="75" t="s">
        <v>49</v>
      </c>
    </row>
    <row r="6" spans="1:6" ht="14.4">
      <c r="A6" s="382">
        <v>1</v>
      </c>
      <c r="B6" s="383" t="s">
        <v>564</v>
      </c>
      <c r="C6" s="608">
        <f>SUM(C7:C9)</f>
        <v>321006177.00999999</v>
      </c>
      <c r="D6" s="76"/>
      <c r="E6" s="77"/>
    </row>
    <row r="7" spans="1:6" ht="14.4">
      <c r="A7" s="382">
        <v>1.1000000000000001</v>
      </c>
      <c r="B7" s="384" t="s">
        <v>565</v>
      </c>
      <c r="C7" s="609">
        <v>91228953.689999998</v>
      </c>
      <c r="D7" s="78"/>
      <c r="E7" s="77"/>
    </row>
    <row r="8" spans="1:6" ht="14.4">
      <c r="A8" s="382">
        <v>1.2</v>
      </c>
      <c r="B8" s="384" t="s">
        <v>566</v>
      </c>
      <c r="C8" s="609">
        <v>147233398.18000001</v>
      </c>
      <c r="D8" s="78"/>
      <c r="E8" s="77"/>
    </row>
    <row r="9" spans="1:6" ht="14.4">
      <c r="A9" s="382">
        <v>1.3</v>
      </c>
      <c r="B9" s="384" t="s">
        <v>567</v>
      </c>
      <c r="C9" s="609">
        <v>82543825.139999986</v>
      </c>
      <c r="D9" s="78"/>
      <c r="E9" s="77"/>
    </row>
    <row r="10" spans="1:6" ht="14.4">
      <c r="A10" s="382">
        <v>2</v>
      </c>
      <c r="B10" s="385" t="s">
        <v>568</v>
      </c>
      <c r="C10" s="609"/>
      <c r="D10" s="78"/>
      <c r="E10" s="77"/>
    </row>
    <row r="11" spans="1:6" ht="14.4">
      <c r="A11" s="382">
        <v>2.1</v>
      </c>
      <c r="B11" s="386" t="s">
        <v>569</v>
      </c>
      <c r="C11" s="610"/>
      <c r="D11" s="445"/>
      <c r="E11" s="79"/>
    </row>
    <row r="12" spans="1:6" ht="14.4">
      <c r="A12" s="382">
        <v>3</v>
      </c>
      <c r="B12" s="387" t="s">
        <v>570</v>
      </c>
      <c r="C12" s="610"/>
      <c r="D12" s="445"/>
      <c r="E12" s="79"/>
    </row>
    <row r="13" spans="1:6" ht="14.4">
      <c r="A13" s="382">
        <v>4</v>
      </c>
      <c r="B13" s="388" t="s">
        <v>571</v>
      </c>
      <c r="C13" s="610">
        <v>1821169.01</v>
      </c>
      <c r="D13" s="445"/>
      <c r="E13" s="79"/>
    </row>
    <row r="14" spans="1:6" ht="14.4">
      <c r="A14" s="382">
        <v>5</v>
      </c>
      <c r="B14" s="389" t="s">
        <v>572</v>
      </c>
      <c r="C14" s="610">
        <f>SUM(C15:C17)</f>
        <v>0</v>
      </c>
      <c r="D14" s="445"/>
      <c r="E14" s="79"/>
    </row>
    <row r="15" spans="1:6" ht="14.4">
      <c r="A15" s="382">
        <v>5.0999999999999996</v>
      </c>
      <c r="B15" s="390" t="s">
        <v>573</v>
      </c>
      <c r="C15" s="609"/>
      <c r="D15" s="445"/>
      <c r="E15" s="77"/>
    </row>
    <row r="16" spans="1:6" ht="14.4">
      <c r="A16" s="382">
        <v>5.2</v>
      </c>
      <c r="B16" s="390" t="s">
        <v>574</v>
      </c>
      <c r="C16" s="609"/>
      <c r="D16" s="78"/>
      <c r="E16" s="77"/>
    </row>
    <row r="17" spans="1:5" ht="14.4">
      <c r="A17" s="382">
        <v>5.3</v>
      </c>
      <c r="B17" s="391" t="s">
        <v>575</v>
      </c>
      <c r="C17" s="609"/>
      <c r="D17" s="78"/>
      <c r="E17" s="77"/>
    </row>
    <row r="18" spans="1:5" ht="14.4">
      <c r="A18" s="382">
        <v>6</v>
      </c>
      <c r="B18" s="387" t="s">
        <v>576</v>
      </c>
      <c r="C18" s="609">
        <f>SUM(C19:C20)</f>
        <v>2030459498.9300001</v>
      </c>
      <c r="D18" s="78"/>
      <c r="E18" s="77"/>
    </row>
    <row r="19" spans="1:5" ht="14.4">
      <c r="A19" s="382">
        <v>6.1</v>
      </c>
      <c r="B19" s="390" t="s">
        <v>574</v>
      </c>
      <c r="C19" s="610">
        <v>48888517.93</v>
      </c>
      <c r="D19" s="78"/>
      <c r="E19" s="77"/>
    </row>
    <row r="20" spans="1:5" ht="14.4">
      <c r="A20" s="382">
        <v>6.2</v>
      </c>
      <c r="B20" s="391" t="s">
        <v>575</v>
      </c>
      <c r="C20" s="610">
        <v>1981570981</v>
      </c>
      <c r="D20" s="78"/>
      <c r="E20" s="77"/>
    </row>
    <row r="21" spans="1:5" ht="14.4">
      <c r="A21" s="382">
        <v>7</v>
      </c>
      <c r="B21" s="385" t="s">
        <v>577</v>
      </c>
      <c r="C21" s="610"/>
      <c r="D21" s="78"/>
      <c r="E21" s="77"/>
    </row>
    <row r="22" spans="1:5" ht="14.4">
      <c r="A22" s="382">
        <v>8</v>
      </c>
      <c r="B22" s="392" t="s">
        <v>578</v>
      </c>
      <c r="C22" s="609"/>
      <c r="D22" s="78"/>
      <c r="E22" s="77"/>
    </row>
    <row r="23" spans="1:5" ht="14.4">
      <c r="A23" s="382">
        <v>9</v>
      </c>
      <c r="B23" s="388" t="s">
        <v>579</v>
      </c>
      <c r="C23" s="609">
        <f>SUM(C24:C25)</f>
        <v>45907008.240000017</v>
      </c>
      <c r="D23" s="446"/>
      <c r="E23" s="77"/>
    </row>
    <row r="24" spans="1:5" ht="14.4">
      <c r="A24" s="382">
        <v>9.1</v>
      </c>
      <c r="B24" s="390" t="s">
        <v>580</v>
      </c>
      <c r="C24" s="611">
        <v>45907008.240000017</v>
      </c>
      <c r="D24" s="80"/>
      <c r="E24" s="77"/>
    </row>
    <row r="25" spans="1:5" ht="14.4">
      <c r="A25" s="382">
        <v>9.1999999999999993</v>
      </c>
      <c r="B25" s="390" t="s">
        <v>581</v>
      </c>
      <c r="C25" s="612"/>
      <c r="D25" s="444"/>
      <c r="E25" s="81"/>
    </row>
    <row r="26" spans="1:5" ht="14.4">
      <c r="A26" s="382">
        <v>10</v>
      </c>
      <c r="B26" s="388" t="s">
        <v>582</v>
      </c>
      <c r="C26" s="613">
        <f>SUM(C27:C28)</f>
        <v>24667339.510000005</v>
      </c>
      <c r="D26" s="549" t="s">
        <v>752</v>
      </c>
      <c r="E26" s="77"/>
    </row>
    <row r="27" spans="1:5" ht="14.4">
      <c r="A27" s="382">
        <v>10.1</v>
      </c>
      <c r="B27" s="390" t="s">
        <v>583</v>
      </c>
      <c r="C27" s="609"/>
      <c r="D27" s="78"/>
      <c r="E27" s="77"/>
    </row>
    <row r="28" spans="1:5" ht="14.4">
      <c r="A28" s="382">
        <v>10.199999999999999</v>
      </c>
      <c r="B28" s="390" t="s">
        <v>584</v>
      </c>
      <c r="C28" s="609">
        <v>24667339.510000005</v>
      </c>
      <c r="D28" s="78"/>
      <c r="E28" s="77"/>
    </row>
    <row r="29" spans="1:5" ht="14.4">
      <c r="A29" s="382">
        <v>11</v>
      </c>
      <c r="B29" s="388" t="s">
        <v>585</v>
      </c>
      <c r="C29" s="609">
        <f>SUM(C30:C31)</f>
        <v>2160944.36</v>
      </c>
      <c r="D29" s="78"/>
      <c r="E29" s="77"/>
    </row>
    <row r="30" spans="1:5" ht="14.4">
      <c r="A30" s="382">
        <v>11.1</v>
      </c>
      <c r="B30" s="390" t="s">
        <v>586</v>
      </c>
      <c r="C30" s="609">
        <v>2160944.36</v>
      </c>
      <c r="D30" s="78"/>
      <c r="E30" s="77"/>
    </row>
    <row r="31" spans="1:5" ht="14.4">
      <c r="A31" s="382">
        <v>11.2</v>
      </c>
      <c r="B31" s="390" t="s">
        <v>587</v>
      </c>
      <c r="C31" s="609"/>
      <c r="D31" s="78"/>
      <c r="E31" s="77"/>
    </row>
    <row r="32" spans="1:5" ht="14.4">
      <c r="A32" s="382">
        <v>13</v>
      </c>
      <c r="B32" s="388" t="s">
        <v>588</v>
      </c>
      <c r="C32" s="609">
        <v>44037733</v>
      </c>
      <c r="D32" s="78"/>
      <c r="E32" s="77"/>
    </row>
    <row r="33" spans="1:5" ht="14.4">
      <c r="A33" s="382">
        <v>13.1</v>
      </c>
      <c r="B33" s="393" t="s">
        <v>589</v>
      </c>
      <c r="C33" s="609">
        <v>13792672</v>
      </c>
      <c r="D33" s="78"/>
      <c r="E33" s="77"/>
    </row>
    <row r="34" spans="1:5" ht="14.4">
      <c r="A34" s="382">
        <v>13.2</v>
      </c>
      <c r="B34" s="393" t="s">
        <v>590</v>
      </c>
      <c r="C34" s="611"/>
      <c r="D34" s="80"/>
      <c r="E34" s="77"/>
    </row>
    <row r="35" spans="1:5" ht="14.4">
      <c r="A35" s="382">
        <v>14</v>
      </c>
      <c r="B35" s="394" t="s">
        <v>591</v>
      </c>
      <c r="C35" s="611">
        <f>SUM(C6,C10,C12,C13,C14,C18,C21,C22,C23,C26,C29,C32)</f>
        <v>2470059870.0600004</v>
      </c>
      <c r="D35" s="80"/>
      <c r="E35" s="77"/>
    </row>
    <row r="36" spans="1:5" ht="14.4">
      <c r="A36" s="382"/>
      <c r="B36" s="395" t="s">
        <v>592</v>
      </c>
      <c r="C36" s="82"/>
      <c r="D36" s="83"/>
      <c r="E36" s="77"/>
    </row>
    <row r="37" spans="1:5" ht="14.4">
      <c r="A37" s="382">
        <v>15</v>
      </c>
      <c r="B37" s="396" t="s">
        <v>593</v>
      </c>
      <c r="C37" s="448"/>
      <c r="D37" s="444"/>
      <c r="E37" s="81"/>
    </row>
    <row r="38" spans="1:5" ht="14.4">
      <c r="A38" s="397">
        <v>15.1</v>
      </c>
      <c r="B38" s="398" t="s">
        <v>569</v>
      </c>
      <c r="C38" s="447"/>
      <c r="D38" s="78"/>
      <c r="E38" s="77"/>
    </row>
    <row r="39" spans="1:5" ht="14.4">
      <c r="A39" s="397">
        <v>16</v>
      </c>
      <c r="B39" s="385" t="s">
        <v>594</v>
      </c>
      <c r="C39" s="609">
        <v>133466.57</v>
      </c>
      <c r="D39" s="78"/>
      <c r="E39" s="77"/>
    </row>
    <row r="40" spans="1:5" ht="14.4">
      <c r="A40" s="397">
        <v>17</v>
      </c>
      <c r="B40" s="385" t="s">
        <v>595</v>
      </c>
      <c r="C40" s="609">
        <f>SUM(C41:C44)</f>
        <v>1979248517.8800001</v>
      </c>
      <c r="D40" s="78"/>
      <c r="E40" s="77"/>
    </row>
    <row r="41" spans="1:5" ht="14.4">
      <c r="A41" s="397">
        <v>17.100000000000001</v>
      </c>
      <c r="B41" s="399" t="s">
        <v>596</v>
      </c>
      <c r="C41" s="609">
        <v>893284468</v>
      </c>
      <c r="D41" s="78"/>
      <c r="E41" s="77"/>
    </row>
    <row r="42" spans="1:5" ht="14.4">
      <c r="A42" s="397">
        <v>17.2</v>
      </c>
      <c r="B42" s="400" t="s">
        <v>597</v>
      </c>
      <c r="C42" s="609">
        <v>1064696709.0500001</v>
      </c>
      <c r="D42" s="78"/>
      <c r="E42" s="77"/>
    </row>
    <row r="43" spans="1:5" ht="14.4">
      <c r="A43" s="397">
        <v>17.3</v>
      </c>
      <c r="B43" s="435" t="s">
        <v>598</v>
      </c>
      <c r="C43" s="611"/>
      <c r="D43" s="80"/>
      <c r="E43" s="77"/>
    </row>
    <row r="44" spans="1:5" ht="14.4">
      <c r="A44" s="397">
        <v>17.399999999999999</v>
      </c>
      <c r="B44" s="436" t="s">
        <v>599</v>
      </c>
      <c r="C44" s="606">
        <v>21267340.829999998</v>
      </c>
      <c r="D44" s="437"/>
      <c r="E44" s="77"/>
    </row>
    <row r="45" spans="1:5" ht="14.4">
      <c r="A45" s="397">
        <v>18</v>
      </c>
      <c r="B45" s="408" t="s">
        <v>600</v>
      </c>
      <c r="C45" s="449"/>
      <c r="D45" s="443"/>
      <c r="E45" s="81"/>
    </row>
    <row r="46" spans="1:5" ht="14.4">
      <c r="A46" s="397">
        <v>19</v>
      </c>
      <c r="B46" s="408" t="s">
        <v>601</v>
      </c>
      <c r="C46" s="607">
        <v>5100593.9399999985</v>
      </c>
      <c r="D46" s="438"/>
    </row>
    <row r="47" spans="1:5" ht="14.4">
      <c r="A47" s="397">
        <v>19.100000000000001</v>
      </c>
      <c r="B47" s="439" t="s">
        <v>602</v>
      </c>
      <c r="C47" s="607"/>
      <c r="D47" s="438"/>
    </row>
    <row r="48" spans="1:5" ht="14.4">
      <c r="A48" s="397">
        <v>19.2</v>
      </c>
      <c r="B48" s="439" t="s">
        <v>603</v>
      </c>
      <c r="C48" s="607">
        <v>4948072.8399999989</v>
      </c>
      <c r="D48" s="438"/>
    </row>
    <row r="49" spans="1:4" ht="14.4">
      <c r="A49" s="397">
        <v>20</v>
      </c>
      <c r="B49" s="403" t="s">
        <v>604</v>
      </c>
      <c r="C49" s="607">
        <v>127236533.97</v>
      </c>
      <c r="D49" s="438"/>
    </row>
    <row r="50" spans="1:4" ht="14.4">
      <c r="A50" s="397">
        <v>21</v>
      </c>
      <c r="B50" s="440" t="s">
        <v>605</v>
      </c>
      <c r="C50" s="607">
        <v>51421205.399999999</v>
      </c>
      <c r="D50" s="438"/>
    </row>
    <row r="51" spans="1:4" ht="14.4">
      <c r="A51" s="397">
        <v>21.1</v>
      </c>
      <c r="B51" s="400" t="s">
        <v>606</v>
      </c>
      <c r="C51" s="607"/>
      <c r="D51" s="438"/>
    </row>
    <row r="52" spans="1:4" ht="14.4">
      <c r="A52" s="397">
        <v>22</v>
      </c>
      <c r="B52" s="404" t="s">
        <v>607</v>
      </c>
      <c r="C52" s="607">
        <f>SUM(C37,C39,C40,C45,C46,C49,C50)</f>
        <v>2163140317.7600002</v>
      </c>
      <c r="D52" s="438"/>
    </row>
    <row r="53" spans="1:4" ht="14.4">
      <c r="A53" s="397"/>
      <c r="B53" s="405" t="s">
        <v>608</v>
      </c>
      <c r="C53" s="607"/>
      <c r="D53" s="438"/>
    </row>
    <row r="54" spans="1:4" ht="14.4">
      <c r="A54" s="397">
        <v>23</v>
      </c>
      <c r="B54" s="403" t="s">
        <v>609</v>
      </c>
      <c r="C54" s="607">
        <v>5210230</v>
      </c>
      <c r="D54" s="438"/>
    </row>
    <row r="55" spans="1:4" ht="14.4">
      <c r="A55" s="397">
        <v>24</v>
      </c>
      <c r="B55" s="403" t="s">
        <v>610</v>
      </c>
      <c r="C55" s="607"/>
      <c r="D55" s="438"/>
    </row>
    <row r="56" spans="1:4" ht="14.4">
      <c r="A56" s="397">
        <v>25</v>
      </c>
      <c r="B56" s="408" t="s">
        <v>611</v>
      </c>
      <c r="C56" s="607">
        <v>37102057.520000003</v>
      </c>
      <c r="D56" s="438"/>
    </row>
    <row r="57" spans="1:4" ht="14.4">
      <c r="A57" s="397">
        <v>26</v>
      </c>
      <c r="B57" s="408" t="s">
        <v>612</v>
      </c>
      <c r="C57" s="607"/>
      <c r="D57" s="438"/>
    </row>
    <row r="58" spans="1:4" ht="14.4">
      <c r="A58" s="397">
        <v>27</v>
      </c>
      <c r="B58" s="408" t="s">
        <v>613</v>
      </c>
      <c r="C58" s="607">
        <f>SUM(C59:C60)</f>
        <v>0</v>
      </c>
      <c r="D58" s="438"/>
    </row>
    <row r="59" spans="1:4" ht="14.4">
      <c r="A59" s="397">
        <v>27.1</v>
      </c>
      <c r="B59" s="436" t="s">
        <v>614</v>
      </c>
      <c r="C59" s="607"/>
      <c r="D59" s="438"/>
    </row>
    <row r="60" spans="1:4" ht="14.4">
      <c r="A60" s="397">
        <v>27.2</v>
      </c>
      <c r="B60" s="436" t="s">
        <v>615</v>
      </c>
      <c r="C60" s="607"/>
      <c r="D60" s="438"/>
    </row>
    <row r="61" spans="1:4" ht="14.4">
      <c r="A61" s="397">
        <v>28</v>
      </c>
      <c r="B61" s="406" t="s">
        <v>616</v>
      </c>
      <c r="C61" s="607"/>
      <c r="D61" s="438"/>
    </row>
    <row r="62" spans="1:4" ht="14.4">
      <c r="A62" s="397">
        <v>29</v>
      </c>
      <c r="B62" s="408" t="s">
        <v>617</v>
      </c>
      <c r="C62" s="607">
        <f>SUM(C63:C65)</f>
        <v>0</v>
      </c>
      <c r="D62" s="438"/>
    </row>
    <row r="63" spans="1:4" ht="14.4">
      <c r="A63" s="397">
        <v>29.1</v>
      </c>
      <c r="B63" s="441" t="s">
        <v>618</v>
      </c>
      <c r="C63" s="607"/>
      <c r="D63" s="438"/>
    </row>
    <row r="64" spans="1:4" ht="14.4">
      <c r="A64" s="397">
        <v>29.2</v>
      </c>
      <c r="B64" s="439" t="s">
        <v>619</v>
      </c>
      <c r="C64" s="607"/>
      <c r="D64" s="438"/>
    </row>
    <row r="65" spans="1:4" ht="14.4">
      <c r="A65" s="397">
        <v>29.3</v>
      </c>
      <c r="B65" s="439" t="s">
        <v>620</v>
      </c>
      <c r="C65" s="607"/>
      <c r="D65" s="438"/>
    </row>
    <row r="66" spans="1:4" ht="14.4">
      <c r="A66" s="397">
        <v>30</v>
      </c>
      <c r="B66" s="408" t="s">
        <v>621</v>
      </c>
      <c r="C66" s="607">
        <v>264607265.16002703</v>
      </c>
      <c r="D66" s="438"/>
    </row>
    <row r="67" spans="1:4" ht="14.4">
      <c r="A67" s="397">
        <v>31</v>
      </c>
      <c r="B67" s="442" t="s">
        <v>622</v>
      </c>
      <c r="C67" s="607">
        <f>SUM(C54,C55,C56,C57,C58,C61,C62,C66)</f>
        <v>306919552.68002701</v>
      </c>
      <c r="D67" s="438"/>
    </row>
    <row r="68" spans="1:4" ht="14.4">
      <c r="A68" s="397">
        <v>32</v>
      </c>
      <c r="B68" s="408" t="s">
        <v>623</v>
      </c>
      <c r="C68" s="607">
        <f>SUM(C52,C67)</f>
        <v>2470059870.4400272</v>
      </c>
      <c r="D68" s="43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E14" sqref="E14"/>
    </sheetView>
  </sheetViews>
  <sheetFormatPr defaultColWidth="9.218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4.109375" style="4" bestFit="1" customWidth="1"/>
    <col min="12" max="16" width="13" style="19" bestFit="1" customWidth="1"/>
    <col min="17" max="17" width="14.77734375" style="19" customWidth="1"/>
    <col min="18" max="18" width="13" style="19" bestFit="1" customWidth="1"/>
    <col min="19" max="19" width="34.77734375" style="19" customWidth="1"/>
    <col min="20" max="16384" width="9.21875" style="19"/>
  </cols>
  <sheetData>
    <row r="1" spans="1:19">
      <c r="A1" s="2" t="s">
        <v>30</v>
      </c>
      <c r="B1" s="3" t="str">
        <f>'Info '!C2</f>
        <v>JSC "CREDOBANK"</v>
      </c>
    </row>
    <row r="2" spans="1:19">
      <c r="A2" s="2" t="s">
        <v>31</v>
      </c>
      <c r="B2" s="330">
        <f>'1. key ratios '!B2</f>
        <v>45291</v>
      </c>
    </row>
    <row r="4" spans="1:19" ht="27" thickBot="1">
      <c r="A4" s="4" t="s">
        <v>147</v>
      </c>
      <c r="B4" s="201" t="s">
        <v>252</v>
      </c>
    </row>
    <row r="5" spans="1:19" s="189" customFormat="1" ht="13.8">
      <c r="A5" s="184"/>
      <c r="B5" s="185"/>
      <c r="C5" s="186" t="s">
        <v>0</v>
      </c>
      <c r="D5" s="186" t="s">
        <v>1</v>
      </c>
      <c r="E5" s="186" t="s">
        <v>2</v>
      </c>
      <c r="F5" s="186" t="s">
        <v>3</v>
      </c>
      <c r="G5" s="186" t="s">
        <v>4</v>
      </c>
      <c r="H5" s="186" t="s">
        <v>5</v>
      </c>
      <c r="I5" s="186" t="s">
        <v>8</v>
      </c>
      <c r="J5" s="186" t="s">
        <v>9</v>
      </c>
      <c r="K5" s="186" t="s">
        <v>10</v>
      </c>
      <c r="L5" s="186" t="s">
        <v>11</v>
      </c>
      <c r="M5" s="186" t="s">
        <v>12</v>
      </c>
      <c r="N5" s="186" t="s">
        <v>13</v>
      </c>
      <c r="O5" s="186" t="s">
        <v>236</v>
      </c>
      <c r="P5" s="186" t="s">
        <v>237</v>
      </c>
      <c r="Q5" s="186" t="s">
        <v>238</v>
      </c>
      <c r="R5" s="187" t="s">
        <v>239</v>
      </c>
      <c r="S5" s="188" t="s">
        <v>240</v>
      </c>
    </row>
    <row r="6" spans="1:19" s="189" customFormat="1" ht="99" customHeight="1">
      <c r="A6" s="190"/>
      <c r="B6" s="742" t="s">
        <v>241</v>
      </c>
      <c r="C6" s="738">
        <v>0</v>
      </c>
      <c r="D6" s="739"/>
      <c r="E6" s="738">
        <v>0.2</v>
      </c>
      <c r="F6" s="739"/>
      <c r="G6" s="738">
        <v>0.35</v>
      </c>
      <c r="H6" s="739"/>
      <c r="I6" s="738">
        <v>0.5</v>
      </c>
      <c r="J6" s="739"/>
      <c r="K6" s="738">
        <v>0.75</v>
      </c>
      <c r="L6" s="739"/>
      <c r="M6" s="738">
        <v>1</v>
      </c>
      <c r="N6" s="739"/>
      <c r="O6" s="738">
        <v>1.5</v>
      </c>
      <c r="P6" s="739"/>
      <c r="Q6" s="738">
        <v>2.5</v>
      </c>
      <c r="R6" s="739"/>
      <c r="S6" s="740" t="s">
        <v>146</v>
      </c>
    </row>
    <row r="7" spans="1:19" s="189" customFormat="1" ht="30.75" customHeight="1">
      <c r="A7" s="190"/>
      <c r="B7" s="743"/>
      <c r="C7" s="181" t="s">
        <v>149</v>
      </c>
      <c r="D7" s="181" t="s">
        <v>148</v>
      </c>
      <c r="E7" s="181" t="s">
        <v>149</v>
      </c>
      <c r="F7" s="181" t="s">
        <v>148</v>
      </c>
      <c r="G7" s="181" t="s">
        <v>149</v>
      </c>
      <c r="H7" s="181" t="s">
        <v>148</v>
      </c>
      <c r="I7" s="181" t="s">
        <v>149</v>
      </c>
      <c r="J7" s="181" t="s">
        <v>148</v>
      </c>
      <c r="K7" s="181" t="s">
        <v>149</v>
      </c>
      <c r="L7" s="181" t="s">
        <v>148</v>
      </c>
      <c r="M7" s="181" t="s">
        <v>149</v>
      </c>
      <c r="N7" s="181" t="s">
        <v>148</v>
      </c>
      <c r="O7" s="181" t="s">
        <v>149</v>
      </c>
      <c r="P7" s="181" t="s">
        <v>148</v>
      </c>
      <c r="Q7" s="181" t="s">
        <v>149</v>
      </c>
      <c r="R7" s="181" t="s">
        <v>148</v>
      </c>
      <c r="S7" s="741"/>
    </row>
    <row r="8" spans="1:19">
      <c r="A8" s="84">
        <v>1</v>
      </c>
      <c r="B8" s="1" t="s">
        <v>51</v>
      </c>
      <c r="C8" s="85">
        <v>121157969.45</v>
      </c>
      <c r="D8" s="85"/>
      <c r="E8" s="85"/>
      <c r="F8" s="85"/>
      <c r="G8" s="85"/>
      <c r="H8" s="85"/>
      <c r="I8" s="85"/>
      <c r="J8" s="85"/>
      <c r="K8" s="85"/>
      <c r="L8" s="85"/>
      <c r="M8" s="85">
        <v>48827621.170000002</v>
      </c>
      <c r="N8" s="85"/>
      <c r="O8" s="85"/>
      <c r="P8" s="85"/>
      <c r="Q8" s="85"/>
      <c r="R8" s="85"/>
      <c r="S8" s="202">
        <f>$C$6*SUM(C8:D8)+$E$6*SUM(E8:F8)+$G$6*SUM(G8:H8)+$I$6*SUM(I8:J8)+$K$6*SUM(K8:L8)+$M$6*SUM(M8:N8)+$O$6*SUM(O8:P8)+$Q$6*SUM(Q8:R8)</f>
        <v>48827621.170000002</v>
      </c>
    </row>
    <row r="9" spans="1:19">
      <c r="A9" s="84">
        <v>2</v>
      </c>
      <c r="B9" s="1" t="s">
        <v>52</v>
      </c>
      <c r="C9" s="85"/>
      <c r="D9" s="85"/>
      <c r="E9" s="85"/>
      <c r="F9" s="85"/>
      <c r="G9" s="85"/>
      <c r="H9" s="85"/>
      <c r="I9" s="85"/>
      <c r="J9" s="85"/>
      <c r="K9" s="85"/>
      <c r="L9" s="85"/>
      <c r="M9" s="85"/>
      <c r="N9" s="85"/>
      <c r="O9" s="85"/>
      <c r="P9" s="85"/>
      <c r="Q9" s="85"/>
      <c r="R9" s="85"/>
      <c r="S9" s="202">
        <f t="shared" ref="S9:S21" si="0">$C$6*SUM(C9:D9)+$E$6*SUM(E9:F9)+$G$6*SUM(G9:H9)+$I$6*SUM(I9:J9)+$K$6*SUM(K9:L9)+$M$6*SUM(M9:N9)+$O$6*SUM(O9:P9)+$Q$6*SUM(Q9:R9)</f>
        <v>0</v>
      </c>
    </row>
    <row r="10" spans="1:19">
      <c r="A10" s="84">
        <v>3</v>
      </c>
      <c r="B10" s="1" t="s">
        <v>165</v>
      </c>
      <c r="C10" s="85">
        <v>26136325.489999998</v>
      </c>
      <c r="D10" s="85"/>
      <c r="E10" s="85"/>
      <c r="F10" s="85"/>
      <c r="G10" s="85"/>
      <c r="H10" s="85"/>
      <c r="I10" s="85"/>
      <c r="J10" s="85"/>
      <c r="K10" s="85"/>
      <c r="L10" s="85"/>
      <c r="M10" s="85"/>
      <c r="N10" s="85"/>
      <c r="O10" s="85"/>
      <c r="P10" s="85"/>
      <c r="Q10" s="85"/>
      <c r="R10" s="85"/>
      <c r="S10" s="202">
        <f t="shared" si="0"/>
        <v>0</v>
      </c>
    </row>
    <row r="11" spans="1:19">
      <c r="A11" s="84">
        <v>4</v>
      </c>
      <c r="B11" s="1" t="s">
        <v>53</v>
      </c>
      <c r="C11" s="85"/>
      <c r="D11" s="85"/>
      <c r="E11" s="85"/>
      <c r="F11" s="85"/>
      <c r="G11" s="85"/>
      <c r="H11" s="85"/>
      <c r="I11" s="85"/>
      <c r="J11" s="85"/>
      <c r="K11" s="85"/>
      <c r="L11" s="85"/>
      <c r="M11" s="85"/>
      <c r="N11" s="85"/>
      <c r="O11" s="85"/>
      <c r="P11" s="85"/>
      <c r="Q11" s="85"/>
      <c r="R11" s="85"/>
      <c r="S11" s="202">
        <f t="shared" si="0"/>
        <v>0</v>
      </c>
    </row>
    <row r="12" spans="1:19">
      <c r="A12" s="84">
        <v>5</v>
      </c>
      <c r="B12" s="1" t="s">
        <v>54</v>
      </c>
      <c r="C12" s="85"/>
      <c r="D12" s="85"/>
      <c r="E12" s="85"/>
      <c r="F12" s="85"/>
      <c r="G12" s="85"/>
      <c r="H12" s="85"/>
      <c r="I12" s="85"/>
      <c r="J12" s="85"/>
      <c r="K12" s="85"/>
      <c r="L12" s="85"/>
      <c r="M12" s="85"/>
      <c r="N12" s="85"/>
      <c r="O12" s="85"/>
      <c r="P12" s="85"/>
      <c r="Q12" s="85"/>
      <c r="R12" s="85"/>
      <c r="S12" s="202">
        <f t="shared" si="0"/>
        <v>0</v>
      </c>
    </row>
    <row r="13" spans="1:19">
      <c r="A13" s="84">
        <v>6</v>
      </c>
      <c r="B13" s="1" t="s">
        <v>55</v>
      </c>
      <c r="C13" s="85"/>
      <c r="D13" s="85"/>
      <c r="E13" s="85">
        <f>59168200.8+2297</f>
        <v>59170497.799999997</v>
      </c>
      <c r="F13" s="85"/>
      <c r="G13" s="85"/>
      <c r="H13" s="85"/>
      <c r="I13" s="85">
        <v>23284413.980299998</v>
      </c>
      <c r="J13" s="85"/>
      <c r="K13" s="85"/>
      <c r="L13" s="85"/>
      <c r="M13" s="85">
        <f>77878.1399999896-2297</f>
        <v>75581.139999989595</v>
      </c>
      <c r="N13" s="85"/>
      <c r="O13" s="85">
        <v>13332.16</v>
      </c>
      <c r="P13" s="85"/>
      <c r="Q13" s="85"/>
      <c r="R13" s="85"/>
      <c r="S13" s="202">
        <f t="shared" si="0"/>
        <v>23571885.930149987</v>
      </c>
    </row>
    <row r="14" spans="1:19">
      <c r="A14" s="84">
        <v>7</v>
      </c>
      <c r="B14" s="1" t="s">
        <v>56</v>
      </c>
      <c r="C14" s="85"/>
      <c r="D14" s="85"/>
      <c r="E14" s="85"/>
      <c r="F14" s="85"/>
      <c r="G14" s="85"/>
      <c r="H14" s="85"/>
      <c r="I14" s="85"/>
      <c r="J14" s="85"/>
      <c r="K14" s="85"/>
      <c r="L14" s="85"/>
      <c r="M14" s="85">
        <v>24937018.49015158</v>
      </c>
      <c r="N14" s="85">
        <v>1344700</v>
      </c>
      <c r="O14" s="85"/>
      <c r="P14" s="85"/>
      <c r="Q14" s="85"/>
      <c r="R14" s="85"/>
      <c r="S14" s="202">
        <f t="shared" si="0"/>
        <v>26281718.49015158</v>
      </c>
    </row>
    <row r="15" spans="1:19">
      <c r="A15" s="84">
        <v>8</v>
      </c>
      <c r="B15" s="1" t="s">
        <v>57</v>
      </c>
      <c r="C15" s="85"/>
      <c r="D15" s="85"/>
      <c r="E15" s="85"/>
      <c r="F15" s="85"/>
      <c r="G15" s="85"/>
      <c r="H15" s="85"/>
      <c r="I15" s="85"/>
      <c r="J15" s="85"/>
      <c r="K15" s="85">
        <v>1851224550.57603</v>
      </c>
      <c r="L15" s="85">
        <v>26427216.055</v>
      </c>
      <c r="M15" s="85"/>
      <c r="N15" s="85"/>
      <c r="O15" s="85"/>
      <c r="P15" s="85"/>
      <c r="Q15" s="85"/>
      <c r="R15" s="85"/>
      <c r="S15" s="202">
        <f t="shared" si="0"/>
        <v>1408238824.9732726</v>
      </c>
    </row>
    <row r="16" spans="1:19">
      <c r="A16" s="84">
        <v>9</v>
      </c>
      <c r="B16" s="1" t="s">
        <v>58</v>
      </c>
      <c r="C16" s="85"/>
      <c r="D16" s="85"/>
      <c r="E16" s="85"/>
      <c r="F16" s="85"/>
      <c r="G16" s="85">
        <v>101471984.24948706</v>
      </c>
      <c r="H16" s="85"/>
      <c r="I16" s="85"/>
      <c r="J16" s="85"/>
      <c r="K16" s="85"/>
      <c r="L16" s="85"/>
      <c r="M16" s="85"/>
      <c r="N16" s="85"/>
      <c r="O16" s="85"/>
      <c r="P16" s="85"/>
      <c r="Q16" s="85"/>
      <c r="R16" s="85"/>
      <c r="S16" s="202">
        <f t="shared" si="0"/>
        <v>35515194.487320468</v>
      </c>
    </row>
    <row r="17" spans="1:19">
      <c r="A17" s="84">
        <v>10</v>
      </c>
      <c r="B17" s="1" t="s">
        <v>59</v>
      </c>
      <c r="C17" s="85"/>
      <c r="D17" s="85"/>
      <c r="E17" s="85"/>
      <c r="F17" s="85"/>
      <c r="G17" s="85"/>
      <c r="H17" s="85"/>
      <c r="I17" s="85">
        <v>101125.39614497131</v>
      </c>
      <c r="J17" s="85"/>
      <c r="K17" s="85"/>
      <c r="L17" s="85"/>
      <c r="M17" s="85">
        <v>3836301.7559554391</v>
      </c>
      <c r="N17" s="85"/>
      <c r="O17" s="85"/>
      <c r="P17" s="85"/>
      <c r="Q17" s="85"/>
      <c r="R17" s="85"/>
      <c r="S17" s="202">
        <f t="shared" si="0"/>
        <v>3886864.4540279247</v>
      </c>
    </row>
    <row r="18" spans="1:19">
      <c r="A18" s="84">
        <v>11</v>
      </c>
      <c r="B18" s="1" t="s">
        <v>60</v>
      </c>
      <c r="C18" s="85"/>
      <c r="D18" s="85"/>
      <c r="E18" s="85"/>
      <c r="F18" s="85"/>
      <c r="G18" s="85"/>
      <c r="H18" s="85"/>
      <c r="I18" s="85"/>
      <c r="J18" s="85"/>
      <c r="K18" s="85"/>
      <c r="L18" s="85"/>
      <c r="M18" s="85"/>
      <c r="N18" s="85"/>
      <c r="O18" s="85"/>
      <c r="P18" s="85"/>
      <c r="Q18" s="85"/>
      <c r="R18" s="85"/>
      <c r="S18" s="202">
        <f t="shared" si="0"/>
        <v>0</v>
      </c>
    </row>
    <row r="19" spans="1:19">
      <c r="A19" s="84">
        <v>12</v>
      </c>
      <c r="B19" s="1" t="s">
        <v>61</v>
      </c>
      <c r="C19" s="85"/>
      <c r="D19" s="85"/>
      <c r="E19" s="85"/>
      <c r="F19" s="85"/>
      <c r="G19" s="85"/>
      <c r="H19" s="85"/>
      <c r="I19" s="85"/>
      <c r="J19" s="85"/>
      <c r="K19" s="85"/>
      <c r="L19" s="85"/>
      <c r="M19" s="85"/>
      <c r="N19" s="85"/>
      <c r="O19" s="85"/>
      <c r="P19" s="85"/>
      <c r="Q19" s="85"/>
      <c r="R19" s="85"/>
      <c r="S19" s="202">
        <f t="shared" si="0"/>
        <v>0</v>
      </c>
    </row>
    <row r="20" spans="1:19">
      <c r="A20" s="84">
        <v>13</v>
      </c>
      <c r="B20" s="1" t="s">
        <v>145</v>
      </c>
      <c r="C20" s="85"/>
      <c r="D20" s="85"/>
      <c r="E20" s="85"/>
      <c r="F20" s="85"/>
      <c r="G20" s="85"/>
      <c r="H20" s="85"/>
      <c r="I20" s="85"/>
      <c r="J20" s="85"/>
      <c r="K20" s="85"/>
      <c r="L20" s="85"/>
      <c r="M20" s="85"/>
      <c r="N20" s="85"/>
      <c r="O20" s="85"/>
      <c r="P20" s="85"/>
      <c r="Q20" s="85"/>
      <c r="R20" s="85"/>
      <c r="S20" s="202">
        <f t="shared" si="0"/>
        <v>0</v>
      </c>
    </row>
    <row r="21" spans="1:19">
      <c r="A21" s="84">
        <v>14</v>
      </c>
      <c r="B21" s="1" t="s">
        <v>63</v>
      </c>
      <c r="C21" s="85">
        <v>91228953.689999998</v>
      </c>
      <c r="D21" s="85"/>
      <c r="E21" s="85"/>
      <c r="F21" s="85"/>
      <c r="G21" s="85"/>
      <c r="H21" s="85"/>
      <c r="I21" s="85"/>
      <c r="J21" s="85"/>
      <c r="K21" s="85"/>
      <c r="L21" s="85"/>
      <c r="M21" s="85">
        <v>93926855.50000003</v>
      </c>
      <c r="N21" s="85"/>
      <c r="O21" s="85"/>
      <c r="P21" s="85"/>
      <c r="Q21" s="85"/>
      <c r="R21" s="85"/>
      <c r="S21" s="202">
        <f t="shared" si="0"/>
        <v>93926855.50000003</v>
      </c>
    </row>
    <row r="22" spans="1:19" ht="13.8" thickBot="1">
      <c r="A22" s="86"/>
      <c r="B22" s="87" t="s">
        <v>64</v>
      </c>
      <c r="C22" s="88">
        <f>SUM(C8:C21)</f>
        <v>238523248.63</v>
      </c>
      <c r="D22" s="88">
        <f t="shared" ref="D22:J22" si="1">SUM(D8:D21)</f>
        <v>0</v>
      </c>
      <c r="E22" s="88">
        <f t="shared" si="1"/>
        <v>59170497.799999997</v>
      </c>
      <c r="F22" s="88">
        <f t="shared" si="1"/>
        <v>0</v>
      </c>
      <c r="G22" s="88">
        <f t="shared" si="1"/>
        <v>101471984.24948706</v>
      </c>
      <c r="H22" s="88">
        <f t="shared" si="1"/>
        <v>0</v>
      </c>
      <c r="I22" s="88">
        <f t="shared" si="1"/>
        <v>23385539.376444969</v>
      </c>
      <c r="J22" s="88">
        <f t="shared" si="1"/>
        <v>0</v>
      </c>
      <c r="K22" s="88">
        <f t="shared" ref="K22:S22" si="2">SUM(K8:K21)</f>
        <v>1851224550.57603</v>
      </c>
      <c r="L22" s="88">
        <f t="shared" si="2"/>
        <v>26427216.055</v>
      </c>
      <c r="M22" s="88">
        <f t="shared" si="2"/>
        <v>171603378.05610704</v>
      </c>
      <c r="N22" s="88">
        <f t="shared" si="2"/>
        <v>1344700</v>
      </c>
      <c r="O22" s="88">
        <f t="shared" si="2"/>
        <v>13332.16</v>
      </c>
      <c r="P22" s="88">
        <f t="shared" si="2"/>
        <v>0</v>
      </c>
      <c r="Q22" s="88">
        <f t="shared" si="2"/>
        <v>0</v>
      </c>
      <c r="R22" s="88">
        <f t="shared" si="2"/>
        <v>0</v>
      </c>
      <c r="S22" s="203">
        <f t="shared" si="2"/>
        <v>1640248965.0049224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90" zoomScaleNormal="90" workbookViewId="0">
      <pane xSplit="2" ySplit="6" topLeftCell="C7" activePane="bottomRight" state="frozen"/>
      <selection activeCell="B9" sqref="B9"/>
      <selection pane="topRight" activeCell="B9" sqref="B9"/>
      <selection pane="bottomLeft" activeCell="B9" sqref="B9"/>
      <selection pane="bottomRight"/>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19"/>
  </cols>
  <sheetData>
    <row r="1" spans="1:22">
      <c r="A1" s="2" t="s">
        <v>30</v>
      </c>
      <c r="B1" s="3" t="str">
        <f>'Info '!C2</f>
        <v>JSC "CREDOBANK"</v>
      </c>
    </row>
    <row r="2" spans="1:22">
      <c r="A2" s="2" t="s">
        <v>31</v>
      </c>
      <c r="B2" s="330">
        <f>'1. key ratios '!B2</f>
        <v>45291</v>
      </c>
    </row>
    <row r="4" spans="1:22" ht="13.8" thickBot="1">
      <c r="A4" s="4" t="s">
        <v>244</v>
      </c>
      <c r="B4" s="89" t="s">
        <v>50</v>
      </c>
      <c r="V4" s="20" t="s">
        <v>35</v>
      </c>
    </row>
    <row r="5" spans="1:22" ht="12.75" customHeight="1">
      <c r="A5" s="90"/>
      <c r="B5" s="91"/>
      <c r="C5" s="744" t="s">
        <v>170</v>
      </c>
      <c r="D5" s="745"/>
      <c r="E5" s="745"/>
      <c r="F5" s="745"/>
      <c r="G5" s="745"/>
      <c r="H5" s="745"/>
      <c r="I5" s="745"/>
      <c r="J5" s="745"/>
      <c r="K5" s="745"/>
      <c r="L5" s="746"/>
      <c r="M5" s="747" t="s">
        <v>171</v>
      </c>
      <c r="N5" s="748"/>
      <c r="O5" s="748"/>
      <c r="P5" s="748"/>
      <c r="Q5" s="748"/>
      <c r="R5" s="748"/>
      <c r="S5" s="749"/>
      <c r="T5" s="752" t="s">
        <v>242</v>
      </c>
      <c r="U5" s="752" t="s">
        <v>243</v>
      </c>
      <c r="V5" s="750" t="s">
        <v>76</v>
      </c>
    </row>
    <row r="6" spans="1:22" s="46" customFormat="1" ht="105.6">
      <c r="A6" s="44"/>
      <c r="B6" s="92"/>
      <c r="C6" s="93" t="s">
        <v>65</v>
      </c>
      <c r="D6" s="165" t="s">
        <v>66</v>
      </c>
      <c r="E6" s="119" t="s">
        <v>173</v>
      </c>
      <c r="F6" s="119" t="s">
        <v>174</v>
      </c>
      <c r="G6" s="165" t="s">
        <v>177</v>
      </c>
      <c r="H6" s="165" t="s">
        <v>172</v>
      </c>
      <c r="I6" s="165" t="s">
        <v>67</v>
      </c>
      <c r="J6" s="165" t="s">
        <v>68</v>
      </c>
      <c r="K6" s="94" t="s">
        <v>69</v>
      </c>
      <c r="L6" s="95" t="s">
        <v>70</v>
      </c>
      <c r="M6" s="93" t="s">
        <v>175</v>
      </c>
      <c r="N6" s="94" t="s">
        <v>71</v>
      </c>
      <c r="O6" s="94" t="s">
        <v>72</v>
      </c>
      <c r="P6" s="94" t="s">
        <v>73</v>
      </c>
      <c r="Q6" s="94" t="s">
        <v>74</v>
      </c>
      <c r="R6" s="94" t="s">
        <v>75</v>
      </c>
      <c r="S6" s="183" t="s">
        <v>176</v>
      </c>
      <c r="T6" s="753"/>
      <c r="U6" s="753"/>
      <c r="V6" s="751"/>
    </row>
    <row r="7" spans="1:22">
      <c r="A7" s="96">
        <v>1</v>
      </c>
      <c r="B7" s="1" t="s">
        <v>51</v>
      </c>
      <c r="C7" s="97"/>
      <c r="D7" s="85"/>
      <c r="E7" s="85"/>
      <c r="F7" s="85"/>
      <c r="G7" s="85"/>
      <c r="H7" s="85"/>
      <c r="I7" s="85"/>
      <c r="J7" s="85"/>
      <c r="K7" s="85"/>
      <c r="L7" s="98"/>
      <c r="M7" s="97"/>
      <c r="N7" s="85"/>
      <c r="O7" s="85"/>
      <c r="P7" s="85"/>
      <c r="Q7" s="85"/>
      <c r="R7" s="85"/>
      <c r="S7" s="98"/>
      <c r="T7" s="191"/>
      <c r="U7" s="191"/>
      <c r="V7" s="99">
        <f>SUM(C7:S7)</f>
        <v>0</v>
      </c>
    </row>
    <row r="8" spans="1:22">
      <c r="A8" s="96">
        <v>2</v>
      </c>
      <c r="B8" s="1" t="s">
        <v>52</v>
      </c>
      <c r="C8" s="97"/>
      <c r="D8" s="85"/>
      <c r="E8" s="85"/>
      <c r="F8" s="85"/>
      <c r="G8" s="85"/>
      <c r="H8" s="85"/>
      <c r="I8" s="85"/>
      <c r="J8" s="85"/>
      <c r="K8" s="85"/>
      <c r="L8" s="98"/>
      <c r="M8" s="97"/>
      <c r="N8" s="85"/>
      <c r="O8" s="85"/>
      <c r="P8" s="85"/>
      <c r="Q8" s="85"/>
      <c r="R8" s="85"/>
      <c r="S8" s="98"/>
      <c r="T8" s="191"/>
      <c r="U8" s="191"/>
      <c r="V8" s="99">
        <f t="shared" ref="V8:V20" si="0">SUM(C8:S8)</f>
        <v>0</v>
      </c>
    </row>
    <row r="9" spans="1:22">
      <c r="A9" s="96">
        <v>3</v>
      </c>
      <c r="B9" s="1" t="s">
        <v>166</v>
      </c>
      <c r="C9" s="97"/>
      <c r="D9" s="85"/>
      <c r="E9" s="85"/>
      <c r="F9" s="85"/>
      <c r="G9" s="85"/>
      <c r="H9" s="85"/>
      <c r="I9" s="85"/>
      <c r="J9" s="85"/>
      <c r="K9" s="85"/>
      <c r="L9" s="98"/>
      <c r="M9" s="97"/>
      <c r="N9" s="85"/>
      <c r="O9" s="85"/>
      <c r="P9" s="85"/>
      <c r="Q9" s="85"/>
      <c r="R9" s="85"/>
      <c r="S9" s="98"/>
      <c r="T9" s="191"/>
      <c r="U9" s="191"/>
      <c r="V9" s="99">
        <f t="shared" si="0"/>
        <v>0</v>
      </c>
    </row>
    <row r="10" spans="1:22">
      <c r="A10" s="96">
        <v>4</v>
      </c>
      <c r="B10" s="1" t="s">
        <v>53</v>
      </c>
      <c r="C10" s="97"/>
      <c r="D10" s="85"/>
      <c r="E10" s="85"/>
      <c r="F10" s="85"/>
      <c r="G10" s="85"/>
      <c r="H10" s="85"/>
      <c r="I10" s="85"/>
      <c r="J10" s="85"/>
      <c r="K10" s="85"/>
      <c r="L10" s="98"/>
      <c r="M10" s="97"/>
      <c r="N10" s="85"/>
      <c r="O10" s="85"/>
      <c r="P10" s="85"/>
      <c r="Q10" s="85"/>
      <c r="R10" s="85"/>
      <c r="S10" s="98"/>
      <c r="T10" s="191"/>
      <c r="U10" s="191"/>
      <c r="V10" s="99">
        <f t="shared" si="0"/>
        <v>0</v>
      </c>
    </row>
    <row r="11" spans="1:22">
      <c r="A11" s="96">
        <v>5</v>
      </c>
      <c r="B11" s="1" t="s">
        <v>54</v>
      </c>
      <c r="C11" s="97"/>
      <c r="D11" s="85"/>
      <c r="E11" s="85"/>
      <c r="F11" s="85"/>
      <c r="G11" s="85"/>
      <c r="H11" s="85"/>
      <c r="I11" s="85"/>
      <c r="J11" s="85"/>
      <c r="K11" s="85"/>
      <c r="L11" s="98"/>
      <c r="M11" s="97"/>
      <c r="N11" s="85"/>
      <c r="O11" s="85"/>
      <c r="P11" s="85"/>
      <c r="Q11" s="85"/>
      <c r="R11" s="85"/>
      <c r="S11" s="98"/>
      <c r="T11" s="191"/>
      <c r="U11" s="191"/>
      <c r="V11" s="99">
        <f t="shared" si="0"/>
        <v>0</v>
      </c>
    </row>
    <row r="12" spans="1:22">
      <c r="A12" s="96">
        <v>6</v>
      </c>
      <c r="B12" s="1" t="s">
        <v>55</v>
      </c>
      <c r="C12" s="97"/>
      <c r="D12" s="85"/>
      <c r="E12" s="85"/>
      <c r="F12" s="85"/>
      <c r="G12" s="85"/>
      <c r="H12" s="85"/>
      <c r="I12" s="85"/>
      <c r="J12" s="85"/>
      <c r="K12" s="85"/>
      <c r="L12" s="98"/>
      <c r="M12" s="97"/>
      <c r="N12" s="85"/>
      <c r="O12" s="85"/>
      <c r="P12" s="85"/>
      <c r="Q12" s="85"/>
      <c r="R12" s="85"/>
      <c r="S12" s="98"/>
      <c r="T12" s="191"/>
      <c r="U12" s="191"/>
      <c r="V12" s="99">
        <f t="shared" si="0"/>
        <v>0</v>
      </c>
    </row>
    <row r="13" spans="1:22">
      <c r="A13" s="96">
        <v>7</v>
      </c>
      <c r="B13" s="1" t="s">
        <v>56</v>
      </c>
      <c r="C13" s="97"/>
      <c r="D13" s="85"/>
      <c r="E13" s="85"/>
      <c r="F13" s="85"/>
      <c r="G13" s="85"/>
      <c r="H13" s="85"/>
      <c r="I13" s="85"/>
      <c r="J13" s="85"/>
      <c r="K13" s="85"/>
      <c r="L13" s="98"/>
      <c r="M13" s="97"/>
      <c r="N13" s="85"/>
      <c r="O13" s="85"/>
      <c r="P13" s="85"/>
      <c r="Q13" s="85"/>
      <c r="R13" s="85"/>
      <c r="S13" s="98"/>
      <c r="T13" s="191"/>
      <c r="U13" s="191"/>
      <c r="V13" s="99">
        <f t="shared" si="0"/>
        <v>0</v>
      </c>
    </row>
    <row r="14" spans="1:22">
      <c r="A14" s="96">
        <v>8</v>
      </c>
      <c r="B14" s="1" t="s">
        <v>57</v>
      </c>
      <c r="C14" s="97"/>
      <c r="D14" s="85"/>
      <c r="E14" s="85"/>
      <c r="F14" s="85"/>
      <c r="G14" s="85"/>
      <c r="H14" s="85"/>
      <c r="I14" s="85"/>
      <c r="J14" s="85"/>
      <c r="K14" s="85"/>
      <c r="L14" s="98"/>
      <c r="M14" s="97"/>
      <c r="N14" s="85"/>
      <c r="O14" s="85"/>
      <c r="P14" s="85"/>
      <c r="Q14" s="85"/>
      <c r="R14" s="85"/>
      <c r="S14" s="98"/>
      <c r="T14" s="191"/>
      <c r="U14" s="191"/>
      <c r="V14" s="99">
        <f t="shared" si="0"/>
        <v>0</v>
      </c>
    </row>
    <row r="15" spans="1:22">
      <c r="A15" s="96">
        <v>9</v>
      </c>
      <c r="B15" s="1" t="s">
        <v>58</v>
      </c>
      <c r="C15" s="97"/>
      <c r="D15" s="85"/>
      <c r="E15" s="85"/>
      <c r="F15" s="85"/>
      <c r="G15" s="85"/>
      <c r="H15" s="85"/>
      <c r="I15" s="85"/>
      <c r="J15" s="85"/>
      <c r="K15" s="85"/>
      <c r="L15" s="98"/>
      <c r="M15" s="97"/>
      <c r="N15" s="85"/>
      <c r="O15" s="85"/>
      <c r="P15" s="85"/>
      <c r="Q15" s="85"/>
      <c r="R15" s="85"/>
      <c r="S15" s="98"/>
      <c r="T15" s="191"/>
      <c r="U15" s="191"/>
      <c r="V15" s="99">
        <f t="shared" si="0"/>
        <v>0</v>
      </c>
    </row>
    <row r="16" spans="1:22">
      <c r="A16" s="96">
        <v>10</v>
      </c>
      <c r="B16" s="1" t="s">
        <v>59</v>
      </c>
      <c r="C16" s="97"/>
      <c r="D16" s="85"/>
      <c r="E16" s="85"/>
      <c r="F16" s="85"/>
      <c r="G16" s="85"/>
      <c r="H16" s="85"/>
      <c r="I16" s="85"/>
      <c r="J16" s="85"/>
      <c r="K16" s="85"/>
      <c r="L16" s="98"/>
      <c r="M16" s="97"/>
      <c r="N16" s="85"/>
      <c r="O16" s="85"/>
      <c r="P16" s="85"/>
      <c r="Q16" s="85"/>
      <c r="R16" s="85"/>
      <c r="S16" s="98"/>
      <c r="T16" s="191"/>
      <c r="U16" s="191"/>
      <c r="V16" s="99">
        <f t="shared" si="0"/>
        <v>0</v>
      </c>
    </row>
    <row r="17" spans="1:22">
      <c r="A17" s="96">
        <v>11</v>
      </c>
      <c r="B17" s="1" t="s">
        <v>60</v>
      </c>
      <c r="C17" s="97"/>
      <c r="D17" s="85"/>
      <c r="E17" s="85"/>
      <c r="F17" s="85"/>
      <c r="G17" s="85"/>
      <c r="H17" s="85"/>
      <c r="I17" s="85"/>
      <c r="J17" s="85"/>
      <c r="K17" s="85"/>
      <c r="L17" s="98"/>
      <c r="M17" s="97"/>
      <c r="N17" s="85"/>
      <c r="O17" s="85"/>
      <c r="P17" s="85"/>
      <c r="Q17" s="85"/>
      <c r="R17" s="85"/>
      <c r="S17" s="98"/>
      <c r="T17" s="191"/>
      <c r="U17" s="191"/>
      <c r="V17" s="99">
        <f t="shared" si="0"/>
        <v>0</v>
      </c>
    </row>
    <row r="18" spans="1:22">
      <c r="A18" s="96">
        <v>12</v>
      </c>
      <c r="B18" s="1" t="s">
        <v>61</v>
      </c>
      <c r="C18" s="97"/>
      <c r="D18" s="85"/>
      <c r="E18" s="85"/>
      <c r="F18" s="85"/>
      <c r="G18" s="85"/>
      <c r="H18" s="85"/>
      <c r="I18" s="85"/>
      <c r="J18" s="85"/>
      <c r="K18" s="85"/>
      <c r="L18" s="98"/>
      <c r="M18" s="97"/>
      <c r="N18" s="85"/>
      <c r="O18" s="85"/>
      <c r="P18" s="85"/>
      <c r="Q18" s="85"/>
      <c r="R18" s="85"/>
      <c r="S18" s="98"/>
      <c r="T18" s="191"/>
      <c r="U18" s="191"/>
      <c r="V18" s="99">
        <f t="shared" si="0"/>
        <v>0</v>
      </c>
    </row>
    <row r="19" spans="1:22">
      <c r="A19" s="96">
        <v>13</v>
      </c>
      <c r="B19" s="1" t="s">
        <v>62</v>
      </c>
      <c r="C19" s="97"/>
      <c r="D19" s="85"/>
      <c r="E19" s="85"/>
      <c r="F19" s="85"/>
      <c r="G19" s="85"/>
      <c r="H19" s="85"/>
      <c r="I19" s="85"/>
      <c r="J19" s="85"/>
      <c r="K19" s="85"/>
      <c r="L19" s="98"/>
      <c r="M19" s="97"/>
      <c r="N19" s="85"/>
      <c r="O19" s="85"/>
      <c r="P19" s="85"/>
      <c r="Q19" s="85"/>
      <c r="R19" s="85"/>
      <c r="S19" s="98"/>
      <c r="T19" s="191"/>
      <c r="U19" s="191"/>
      <c r="V19" s="99">
        <f t="shared" si="0"/>
        <v>0</v>
      </c>
    </row>
    <row r="20" spans="1:22">
      <c r="A20" s="96">
        <v>14</v>
      </c>
      <c r="B20" s="1" t="s">
        <v>63</v>
      </c>
      <c r="C20" s="97"/>
      <c r="D20" s="85"/>
      <c r="E20" s="85"/>
      <c r="F20" s="85"/>
      <c r="G20" s="85"/>
      <c r="H20" s="85"/>
      <c r="I20" s="85"/>
      <c r="J20" s="85"/>
      <c r="K20" s="85"/>
      <c r="L20" s="98"/>
      <c r="M20" s="97"/>
      <c r="N20" s="85"/>
      <c r="O20" s="85"/>
      <c r="P20" s="85"/>
      <c r="Q20" s="85"/>
      <c r="R20" s="85"/>
      <c r="S20" s="98"/>
      <c r="T20" s="191"/>
      <c r="U20" s="191"/>
      <c r="V20" s="99">
        <f t="shared" si="0"/>
        <v>0</v>
      </c>
    </row>
    <row r="21" spans="1:22" ht="13.8" thickBot="1">
      <c r="A21" s="86"/>
      <c r="B21" s="100" t="s">
        <v>64</v>
      </c>
      <c r="C21" s="101">
        <f>SUM(C7:C20)</f>
        <v>0</v>
      </c>
      <c r="D21" s="88">
        <f t="shared" ref="D21:V21" si="1">SUM(D7:D20)</f>
        <v>0</v>
      </c>
      <c r="E21" s="88">
        <f t="shared" si="1"/>
        <v>0</v>
      </c>
      <c r="F21" s="88">
        <f t="shared" si="1"/>
        <v>0</v>
      </c>
      <c r="G21" s="88">
        <f t="shared" si="1"/>
        <v>0</v>
      </c>
      <c r="H21" s="88">
        <f t="shared" si="1"/>
        <v>0</v>
      </c>
      <c r="I21" s="88">
        <f t="shared" si="1"/>
        <v>0</v>
      </c>
      <c r="J21" s="88">
        <f t="shared" si="1"/>
        <v>0</v>
      </c>
      <c r="K21" s="88">
        <f t="shared" si="1"/>
        <v>0</v>
      </c>
      <c r="L21" s="102">
        <f t="shared" si="1"/>
        <v>0</v>
      </c>
      <c r="M21" s="101">
        <f t="shared" si="1"/>
        <v>0</v>
      </c>
      <c r="N21" s="88">
        <f t="shared" si="1"/>
        <v>0</v>
      </c>
      <c r="O21" s="88">
        <f t="shared" si="1"/>
        <v>0</v>
      </c>
      <c r="P21" s="88">
        <f t="shared" si="1"/>
        <v>0</v>
      </c>
      <c r="Q21" s="88">
        <f t="shared" si="1"/>
        <v>0</v>
      </c>
      <c r="R21" s="88">
        <f t="shared" si="1"/>
        <v>0</v>
      </c>
      <c r="S21" s="102">
        <f>SUM(S7:S20)</f>
        <v>0</v>
      </c>
      <c r="T21" s="102">
        <f>SUM(T7:T20)</f>
        <v>0</v>
      </c>
      <c r="U21" s="102">
        <f t="shared" ref="U21" si="2">SUM(U7:U20)</f>
        <v>0</v>
      </c>
      <c r="V21" s="103">
        <f t="shared" si="1"/>
        <v>0</v>
      </c>
    </row>
    <row r="24" spans="1:22">
      <c r="C24" s="27"/>
      <c r="D24" s="27"/>
      <c r="E24" s="27"/>
    </row>
    <row r="25" spans="1:22">
      <c r="A25" s="43"/>
      <c r="B25" s="43"/>
      <c r="D25" s="27"/>
      <c r="E25" s="27"/>
    </row>
    <row r="26" spans="1:22">
      <c r="A26" s="43"/>
      <c r="B26" s="28"/>
      <c r="D26" s="27"/>
      <c r="E26" s="27"/>
    </row>
    <row r="27" spans="1:22">
      <c r="A27" s="43"/>
      <c r="B27" s="43"/>
      <c r="D27" s="27"/>
      <c r="E27" s="27"/>
    </row>
    <row r="28" spans="1:22">
      <c r="A28" s="43"/>
      <c r="B28" s="28"/>
      <c r="D28" s="27"/>
      <c r="E28" s="2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B11" sqref="B11"/>
    </sheetView>
  </sheetViews>
  <sheetFormatPr defaultColWidth="9.21875" defaultRowHeight="13.8"/>
  <cols>
    <col min="1" max="1" width="10.5546875" style="4" bestFit="1" customWidth="1"/>
    <col min="2" max="2" width="76" style="4" customWidth="1"/>
    <col min="3" max="3" width="13.77734375" style="170" customWidth="1"/>
    <col min="4" max="4" width="14.77734375" style="170" bestFit="1" customWidth="1"/>
    <col min="5" max="5" width="17.77734375" style="170" customWidth="1"/>
    <col min="6" max="6" width="15.77734375" style="170" customWidth="1"/>
    <col min="7" max="7" width="17.44140625" style="170" customWidth="1"/>
    <col min="8" max="8" width="15.21875" style="170" customWidth="1"/>
    <col min="9" max="16384" width="9.21875" style="19"/>
  </cols>
  <sheetData>
    <row r="1" spans="1:9">
      <c r="A1" s="2" t="s">
        <v>30</v>
      </c>
      <c r="B1" s="4" t="str">
        <f>'Info '!C2</f>
        <v>JSC "CREDOBANK"</v>
      </c>
      <c r="C1" s="3"/>
    </row>
    <row r="2" spans="1:9">
      <c r="A2" s="2" t="s">
        <v>31</v>
      </c>
      <c r="B2" s="330">
        <f>'1. key ratios '!B2</f>
        <v>45291</v>
      </c>
      <c r="C2" s="330"/>
    </row>
    <row r="4" spans="1:9" ht="14.4" thickBot="1">
      <c r="A4" s="2" t="s">
        <v>151</v>
      </c>
      <c r="B4" s="89" t="s">
        <v>253</v>
      </c>
    </row>
    <row r="5" spans="1:9">
      <c r="A5" s="90"/>
      <c r="B5" s="104"/>
      <c r="C5" s="192" t="s">
        <v>0</v>
      </c>
      <c r="D5" s="192" t="s">
        <v>1</v>
      </c>
      <c r="E5" s="192" t="s">
        <v>2</v>
      </c>
      <c r="F5" s="192" t="s">
        <v>3</v>
      </c>
      <c r="G5" s="193" t="s">
        <v>4</v>
      </c>
      <c r="H5" s="194" t="s">
        <v>5</v>
      </c>
      <c r="I5" s="105"/>
    </row>
    <row r="6" spans="1:9" s="105" customFormat="1" ht="12.75" customHeight="1">
      <c r="A6" s="106"/>
      <c r="B6" s="756" t="s">
        <v>150</v>
      </c>
      <c r="C6" s="742" t="s">
        <v>246</v>
      </c>
      <c r="D6" s="758" t="s">
        <v>245</v>
      </c>
      <c r="E6" s="759"/>
      <c r="F6" s="742" t="s">
        <v>250</v>
      </c>
      <c r="G6" s="742" t="s">
        <v>251</v>
      </c>
      <c r="H6" s="754" t="s">
        <v>249</v>
      </c>
    </row>
    <row r="7" spans="1:9" ht="41.4">
      <c r="A7" s="108"/>
      <c r="B7" s="757"/>
      <c r="C7" s="743"/>
      <c r="D7" s="195" t="s">
        <v>248</v>
      </c>
      <c r="E7" s="195" t="s">
        <v>247</v>
      </c>
      <c r="F7" s="743"/>
      <c r="G7" s="743"/>
      <c r="H7" s="755"/>
      <c r="I7" s="105"/>
    </row>
    <row r="8" spans="1:9">
      <c r="A8" s="106">
        <v>1</v>
      </c>
      <c r="B8" s="1" t="s">
        <v>51</v>
      </c>
      <c r="C8" s="196">
        <v>169985590.62</v>
      </c>
      <c r="D8" s="196"/>
      <c r="E8" s="196"/>
      <c r="F8" s="196">
        <v>48827621.170000002</v>
      </c>
      <c r="G8" s="197">
        <v>48827621.170000002</v>
      </c>
      <c r="H8" s="199">
        <f>IFERROR(G8/(C8+E8),"")</f>
        <v>0.2872456482452877</v>
      </c>
    </row>
    <row r="9" spans="1:9" ht="15" customHeight="1">
      <c r="A9" s="106">
        <v>2</v>
      </c>
      <c r="B9" s="1" t="s">
        <v>52</v>
      </c>
      <c r="C9" s="196"/>
      <c r="D9" s="196"/>
      <c r="E9" s="196"/>
      <c r="F9" s="196"/>
      <c r="G9" s="197"/>
      <c r="H9" s="199" t="str">
        <f t="shared" ref="H9:H21" si="0">IFERROR(G9/(C9+E9),"")</f>
        <v/>
      </c>
    </row>
    <row r="10" spans="1:9">
      <c r="A10" s="106">
        <v>3</v>
      </c>
      <c r="B10" s="1" t="s">
        <v>166</v>
      </c>
      <c r="C10" s="196">
        <v>26136325.489999998</v>
      </c>
      <c r="D10" s="196"/>
      <c r="E10" s="196"/>
      <c r="F10" s="196">
        <v>0</v>
      </c>
      <c r="G10" s="197">
        <v>0</v>
      </c>
      <c r="H10" s="199">
        <f t="shared" si="0"/>
        <v>0</v>
      </c>
    </row>
    <row r="11" spans="1:9">
      <c r="A11" s="106">
        <v>4</v>
      </c>
      <c r="B11" s="1" t="s">
        <v>53</v>
      </c>
      <c r="C11" s="196"/>
      <c r="D11" s="196"/>
      <c r="E11" s="196"/>
      <c r="F11" s="196"/>
      <c r="G11" s="197"/>
      <c r="H11" s="199" t="str">
        <f t="shared" si="0"/>
        <v/>
      </c>
    </row>
    <row r="12" spans="1:9">
      <c r="A12" s="106">
        <v>5</v>
      </c>
      <c r="B12" s="1" t="s">
        <v>54</v>
      </c>
      <c r="C12" s="196"/>
      <c r="D12" s="196"/>
      <c r="E12" s="196"/>
      <c r="F12" s="196"/>
      <c r="G12" s="197"/>
      <c r="H12" s="199" t="str">
        <f t="shared" si="0"/>
        <v/>
      </c>
    </row>
    <row r="13" spans="1:9">
      <c r="A13" s="106">
        <v>6</v>
      </c>
      <c r="B13" s="1" t="s">
        <v>55</v>
      </c>
      <c r="C13" s="196">
        <v>82543825.070299998</v>
      </c>
      <c r="D13" s="196"/>
      <c r="E13" s="196"/>
      <c r="F13" s="196">
        <v>23571885.959999993</v>
      </c>
      <c r="G13" s="197">
        <v>23571885.959999993</v>
      </c>
      <c r="H13" s="199">
        <f t="shared" si="0"/>
        <v>0.28556813232152201</v>
      </c>
    </row>
    <row r="14" spans="1:9">
      <c r="A14" s="106">
        <v>7</v>
      </c>
      <c r="B14" s="1" t="s">
        <v>56</v>
      </c>
      <c r="C14" s="196">
        <v>24937018.49015158</v>
      </c>
      <c r="D14" s="196">
        <v>2689400</v>
      </c>
      <c r="E14" s="196">
        <v>1344700</v>
      </c>
      <c r="F14" s="196">
        <v>26281718.49015158</v>
      </c>
      <c r="G14" s="197">
        <v>26281718.49015158</v>
      </c>
      <c r="H14" s="199">
        <f t="shared" si="0"/>
        <v>1</v>
      </c>
    </row>
    <row r="15" spans="1:9">
      <c r="A15" s="106">
        <v>8</v>
      </c>
      <c r="B15" s="1" t="s">
        <v>57</v>
      </c>
      <c r="C15" s="196">
        <v>1851224550.57603</v>
      </c>
      <c r="D15" s="196">
        <v>53510164</v>
      </c>
      <c r="E15" s="196">
        <v>26427216</v>
      </c>
      <c r="F15" s="196">
        <v>1408238824.9320226</v>
      </c>
      <c r="G15" s="197">
        <v>1408238824.9320226</v>
      </c>
      <c r="H15" s="199">
        <f t="shared" si="0"/>
        <v>0.75</v>
      </c>
    </row>
    <row r="16" spans="1:9">
      <c r="A16" s="106">
        <v>9</v>
      </c>
      <c r="B16" s="1" t="s">
        <v>58</v>
      </c>
      <c r="C16" s="196">
        <v>101471984.24948706</v>
      </c>
      <c r="D16" s="196"/>
      <c r="E16" s="196"/>
      <c r="F16" s="196">
        <v>35515194.487320468</v>
      </c>
      <c r="G16" s="197">
        <v>35515194.487320468</v>
      </c>
      <c r="H16" s="199">
        <f t="shared" si="0"/>
        <v>0.35</v>
      </c>
    </row>
    <row r="17" spans="1:8">
      <c r="A17" s="106">
        <v>10</v>
      </c>
      <c r="B17" s="1" t="s">
        <v>59</v>
      </c>
      <c r="C17" s="196">
        <v>3937427.1521004103</v>
      </c>
      <c r="D17" s="196"/>
      <c r="E17" s="196"/>
      <c r="F17" s="196">
        <v>3886864.4540279247</v>
      </c>
      <c r="G17" s="197">
        <v>3886864.4540279247</v>
      </c>
      <c r="H17" s="199">
        <f t="shared" si="0"/>
        <v>0.98715844227225558</v>
      </c>
    </row>
    <row r="18" spans="1:8">
      <c r="A18" s="106">
        <v>11</v>
      </c>
      <c r="B18" s="1" t="s">
        <v>60</v>
      </c>
      <c r="C18" s="196"/>
      <c r="D18" s="196"/>
      <c r="E18" s="196"/>
      <c r="F18" s="196"/>
      <c r="G18" s="197"/>
      <c r="H18" s="199" t="str">
        <f t="shared" si="0"/>
        <v/>
      </c>
    </row>
    <row r="19" spans="1:8">
      <c r="A19" s="106">
        <v>12</v>
      </c>
      <c r="B19" s="1" t="s">
        <v>61</v>
      </c>
      <c r="C19" s="196"/>
      <c r="D19" s="196"/>
      <c r="E19" s="196"/>
      <c r="F19" s="196"/>
      <c r="G19" s="197"/>
      <c r="H19" s="199" t="str">
        <f t="shared" si="0"/>
        <v/>
      </c>
    </row>
    <row r="20" spans="1:8">
      <c r="A20" s="106">
        <v>13</v>
      </c>
      <c r="B20" s="1" t="s">
        <v>145</v>
      </c>
      <c r="C20" s="196"/>
      <c r="D20" s="196"/>
      <c r="E20" s="196"/>
      <c r="F20" s="196"/>
      <c r="G20" s="197"/>
      <c r="H20" s="199" t="str">
        <f t="shared" si="0"/>
        <v/>
      </c>
    </row>
    <row r="21" spans="1:8">
      <c r="A21" s="106">
        <v>14</v>
      </c>
      <c r="B21" s="1" t="s">
        <v>63</v>
      </c>
      <c r="C21" s="196">
        <v>185155809.19000003</v>
      </c>
      <c r="D21" s="196"/>
      <c r="E21" s="196"/>
      <c r="F21" s="196">
        <v>93926855.50000003</v>
      </c>
      <c r="G21" s="197">
        <v>93926855.50000003</v>
      </c>
      <c r="H21" s="199">
        <f t="shared" si="0"/>
        <v>0.50728549058709671</v>
      </c>
    </row>
    <row r="22" spans="1:8" ht="14.4" thickBot="1">
      <c r="A22" s="109"/>
      <c r="B22" s="110" t="s">
        <v>64</v>
      </c>
      <c r="C22" s="198">
        <f>SUM(C8:C21)</f>
        <v>2445392530.838069</v>
      </c>
      <c r="D22" s="198">
        <f>SUM(D8:D21)</f>
        <v>56199564</v>
      </c>
      <c r="E22" s="198">
        <f>SUM(E8:E21)</f>
        <v>27771916</v>
      </c>
      <c r="F22" s="198">
        <f>SUM(F8:F21)</f>
        <v>1640248964.9935224</v>
      </c>
      <c r="G22" s="198">
        <f>SUM(G8:G21)</f>
        <v>1640248964.9935224</v>
      </c>
      <c r="H22" s="200">
        <f>G22/(C22+E22)</f>
        <v>0.66321872251179026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D8" activePane="bottomRight" state="frozen"/>
      <selection pane="topRight" activeCell="C1" sqref="C1"/>
      <selection pane="bottomLeft" activeCell="A6" sqref="A6"/>
      <selection pane="bottomRight" activeCell="H24" sqref="H24"/>
    </sheetView>
  </sheetViews>
  <sheetFormatPr defaultColWidth="9.21875" defaultRowHeight="13.8"/>
  <cols>
    <col min="1" max="1" width="10.5546875" style="170" bestFit="1" customWidth="1"/>
    <col min="2" max="2" width="104.21875" style="170" customWidth="1"/>
    <col min="3" max="11" width="12.77734375" style="170" customWidth="1"/>
    <col min="12" max="16384" width="9.21875" style="170"/>
  </cols>
  <sheetData>
    <row r="1" spans="1:11">
      <c r="A1" s="170" t="s">
        <v>30</v>
      </c>
      <c r="B1" s="3" t="str">
        <f>'Info '!C2</f>
        <v>JSC "CREDOBANK"</v>
      </c>
    </row>
    <row r="2" spans="1:11">
      <c r="A2" s="170" t="s">
        <v>31</v>
      </c>
      <c r="B2" s="330">
        <f>'1. key ratios '!B2</f>
        <v>45291</v>
      </c>
    </row>
    <row r="4" spans="1:11" ht="14.4" thickBot="1">
      <c r="A4" s="170" t="s">
        <v>147</v>
      </c>
      <c r="B4" s="238" t="s">
        <v>254</v>
      </c>
    </row>
    <row r="5" spans="1:11" ht="30" customHeight="1">
      <c r="A5" s="760"/>
      <c r="B5" s="761"/>
      <c r="C5" s="762" t="s">
        <v>306</v>
      </c>
      <c r="D5" s="762"/>
      <c r="E5" s="762"/>
      <c r="F5" s="762" t="s">
        <v>307</v>
      </c>
      <c r="G5" s="762"/>
      <c r="H5" s="762"/>
      <c r="I5" s="762" t="s">
        <v>308</v>
      </c>
      <c r="J5" s="762"/>
      <c r="K5" s="763"/>
    </row>
    <row r="6" spans="1:11">
      <c r="A6" s="211"/>
      <c r="B6" s="212"/>
      <c r="C6" s="21" t="s">
        <v>32</v>
      </c>
      <c r="D6" s="21" t="s">
        <v>33</v>
      </c>
      <c r="E6" s="21" t="s">
        <v>34</v>
      </c>
      <c r="F6" s="21" t="s">
        <v>32</v>
      </c>
      <c r="G6" s="21" t="s">
        <v>33</v>
      </c>
      <c r="H6" s="21" t="s">
        <v>34</v>
      </c>
      <c r="I6" s="21" t="s">
        <v>32</v>
      </c>
      <c r="J6" s="21" t="s">
        <v>33</v>
      </c>
      <c r="K6" s="21" t="s">
        <v>34</v>
      </c>
    </row>
    <row r="7" spans="1:11">
      <c r="A7" s="213" t="s">
        <v>257</v>
      </c>
      <c r="B7" s="214"/>
      <c r="C7" s="214"/>
      <c r="D7" s="214"/>
      <c r="E7" s="214"/>
      <c r="F7" s="214"/>
      <c r="G7" s="214"/>
      <c r="H7" s="214"/>
      <c r="I7" s="214"/>
      <c r="J7" s="214"/>
      <c r="K7" s="215"/>
    </row>
    <row r="8" spans="1:11">
      <c r="A8" s="216">
        <v>1</v>
      </c>
      <c r="B8" s="217" t="s">
        <v>255</v>
      </c>
      <c r="C8" s="218"/>
      <c r="D8" s="218"/>
      <c r="E8" s="218"/>
      <c r="F8" s="614">
        <v>129257748.15500356</v>
      </c>
      <c r="G8" s="614">
        <v>181108508.66558778</v>
      </c>
      <c r="H8" s="615">
        <f>F8+G8</f>
        <v>310366256.82059133</v>
      </c>
      <c r="I8" s="614">
        <v>115577351.7664516</v>
      </c>
      <c r="J8" s="614">
        <v>78141272.027620077</v>
      </c>
      <c r="K8" s="616">
        <f>I8+J8</f>
        <v>193718623.79407167</v>
      </c>
    </row>
    <row r="9" spans="1:11">
      <c r="A9" s="213" t="s">
        <v>258</v>
      </c>
      <c r="B9" s="214"/>
      <c r="C9" s="214"/>
      <c r="D9" s="214"/>
      <c r="E9" s="214"/>
      <c r="F9" s="214"/>
      <c r="G9" s="214"/>
      <c r="H9" s="214"/>
      <c r="I9" s="214"/>
      <c r="J9" s="214"/>
      <c r="K9" s="215"/>
    </row>
    <row r="10" spans="1:11">
      <c r="A10" s="219">
        <v>2</v>
      </c>
      <c r="B10" s="220" t="s">
        <v>266</v>
      </c>
      <c r="C10" s="617">
        <v>236033162.83946082</v>
      </c>
      <c r="D10" s="618">
        <v>221728602.56817684</v>
      </c>
      <c r="E10" s="619">
        <f>C10+D10</f>
        <v>457761765.40763766</v>
      </c>
      <c r="F10" s="618">
        <v>59559818.64903897</v>
      </c>
      <c r="G10" s="618">
        <v>57795522.18299415</v>
      </c>
      <c r="H10" s="619">
        <f>F10+G10</f>
        <v>117355340.83203313</v>
      </c>
      <c r="I10" s="618">
        <v>11801658.141973043</v>
      </c>
      <c r="J10" s="618">
        <v>11086430.128408844</v>
      </c>
      <c r="K10" s="620">
        <f>I10+J10</f>
        <v>22888088.270381887</v>
      </c>
    </row>
    <row r="11" spans="1:11">
      <c r="A11" s="219">
        <v>3</v>
      </c>
      <c r="B11" s="220" t="s">
        <v>260</v>
      </c>
      <c r="C11" s="617">
        <v>158384954.47583932</v>
      </c>
      <c r="D11" s="618">
        <v>27255182.043639548</v>
      </c>
      <c r="E11" s="619">
        <f t="shared" ref="E11:E15" si="0">C11+D11</f>
        <v>185640136.51947886</v>
      </c>
      <c r="F11" s="618">
        <v>80594121.942739308</v>
      </c>
      <c r="G11" s="618">
        <v>19776322.702770606</v>
      </c>
      <c r="H11" s="619">
        <f t="shared" ref="H11:H15" si="1">F11+G11</f>
        <v>100370444.64550991</v>
      </c>
      <c r="I11" s="618">
        <v>73052458.999019951</v>
      </c>
      <c r="J11" s="618">
        <v>19728217.63684256</v>
      </c>
      <c r="K11" s="620">
        <f t="shared" ref="K11:K15" si="2">I11+J11</f>
        <v>92780676.635862514</v>
      </c>
    </row>
    <row r="12" spans="1:11">
      <c r="A12" s="219">
        <v>4</v>
      </c>
      <c r="B12" s="220" t="s">
        <v>261</v>
      </c>
      <c r="C12" s="617">
        <v>48968279.569892474</v>
      </c>
      <c r="D12" s="618">
        <v>0</v>
      </c>
      <c r="E12" s="619">
        <f t="shared" si="0"/>
        <v>48968279.569892474</v>
      </c>
      <c r="F12" s="618">
        <v>0</v>
      </c>
      <c r="G12" s="618">
        <v>0</v>
      </c>
      <c r="H12" s="619">
        <f t="shared" si="1"/>
        <v>0</v>
      </c>
      <c r="I12" s="618">
        <v>0</v>
      </c>
      <c r="J12" s="618">
        <v>0</v>
      </c>
      <c r="K12" s="620">
        <f t="shared" si="2"/>
        <v>0</v>
      </c>
    </row>
    <row r="13" spans="1:11">
      <c r="A13" s="219">
        <v>5</v>
      </c>
      <c r="B13" s="220" t="s">
        <v>269</v>
      </c>
      <c r="C13" s="617">
        <v>25327168.579904661</v>
      </c>
      <c r="D13" s="618">
        <v>9288543.4958179221</v>
      </c>
      <c r="E13" s="619">
        <f t="shared" si="0"/>
        <v>34615712.075722583</v>
      </c>
      <c r="F13" s="618">
        <v>7598150.5739713982</v>
      </c>
      <c r="G13" s="618">
        <v>2786563.0487453765</v>
      </c>
      <c r="H13" s="619">
        <f t="shared" si="1"/>
        <v>10384713.622716775</v>
      </c>
      <c r="I13" s="618">
        <v>1266358.428995233</v>
      </c>
      <c r="J13" s="618">
        <v>464427.17479089613</v>
      </c>
      <c r="K13" s="620">
        <f t="shared" si="2"/>
        <v>1730785.603786129</v>
      </c>
    </row>
    <row r="14" spans="1:11">
      <c r="A14" s="219">
        <v>6</v>
      </c>
      <c r="B14" s="220" t="s">
        <v>301</v>
      </c>
      <c r="C14" s="617"/>
      <c r="D14" s="618"/>
      <c r="E14" s="619">
        <f t="shared" si="0"/>
        <v>0</v>
      </c>
      <c r="F14" s="618"/>
      <c r="G14" s="618"/>
      <c r="H14" s="619">
        <f t="shared" si="1"/>
        <v>0</v>
      </c>
      <c r="I14" s="618"/>
      <c r="J14" s="618"/>
      <c r="K14" s="620">
        <f t="shared" si="2"/>
        <v>0</v>
      </c>
    </row>
    <row r="15" spans="1:11">
      <c r="A15" s="219">
        <v>7</v>
      </c>
      <c r="B15" s="220" t="s">
        <v>302</v>
      </c>
      <c r="C15" s="617">
        <v>7254355.7476272397</v>
      </c>
      <c r="D15" s="618">
        <v>3990885.645243729</v>
      </c>
      <c r="E15" s="619">
        <f t="shared" si="0"/>
        <v>11245241.392870968</v>
      </c>
      <c r="F15" s="618">
        <v>7254355.7476272397</v>
      </c>
      <c r="G15" s="618">
        <v>3990885.645243729</v>
      </c>
      <c r="H15" s="619">
        <f t="shared" si="1"/>
        <v>11245241.392870968</v>
      </c>
      <c r="I15" s="618">
        <v>7254355.7476272397</v>
      </c>
      <c r="J15" s="618">
        <v>3990885.645243729</v>
      </c>
      <c r="K15" s="620">
        <f t="shared" si="2"/>
        <v>11245241.392870968</v>
      </c>
    </row>
    <row r="16" spans="1:11">
      <c r="A16" s="219">
        <v>8</v>
      </c>
      <c r="B16" s="222" t="s">
        <v>262</v>
      </c>
      <c r="C16" s="621">
        <f t="shared" ref="C16:K16" si="3">SUM(C10:C15)</f>
        <v>475967921.21272451</v>
      </c>
      <c r="D16" s="621">
        <f t="shared" si="3"/>
        <v>262263213.75287804</v>
      </c>
      <c r="E16" s="621">
        <f t="shared" si="3"/>
        <v>738231134.96560264</v>
      </c>
      <c r="F16" s="621">
        <f t="shared" si="3"/>
        <v>155006446.9133769</v>
      </c>
      <c r="G16" s="621">
        <f t="shared" si="3"/>
        <v>84349293.579753861</v>
      </c>
      <c r="H16" s="621">
        <f t="shared" si="3"/>
        <v>239355740.4931308</v>
      </c>
      <c r="I16" s="621">
        <f t="shared" si="3"/>
        <v>93374831.317615479</v>
      </c>
      <c r="J16" s="621">
        <f t="shared" si="3"/>
        <v>35269960.585286029</v>
      </c>
      <c r="K16" s="621">
        <f t="shared" si="3"/>
        <v>128644791.90290149</v>
      </c>
    </row>
    <row r="17" spans="1:11">
      <c r="A17" s="213" t="s">
        <v>259</v>
      </c>
      <c r="B17" s="214"/>
      <c r="C17" s="622"/>
      <c r="D17" s="622"/>
      <c r="E17" s="622"/>
      <c r="F17" s="622"/>
      <c r="G17" s="622"/>
      <c r="H17" s="622"/>
      <c r="I17" s="622"/>
      <c r="J17" s="622"/>
      <c r="K17" s="215"/>
    </row>
    <row r="18" spans="1:11">
      <c r="A18" s="219">
        <v>9</v>
      </c>
      <c r="B18" s="220" t="s">
        <v>265</v>
      </c>
      <c r="C18" s="623"/>
      <c r="D18" s="624"/>
      <c r="E18" s="624"/>
      <c r="F18" s="624"/>
      <c r="G18" s="624"/>
      <c r="H18" s="624"/>
      <c r="I18" s="624"/>
      <c r="J18" s="624"/>
      <c r="K18" s="221"/>
    </row>
    <row r="19" spans="1:11">
      <c r="A19" s="219">
        <v>10</v>
      </c>
      <c r="B19" s="220" t="s">
        <v>303</v>
      </c>
      <c r="C19" s="617">
        <v>94824981.077680424</v>
      </c>
      <c r="D19" s="618">
        <v>3293235.4676565533</v>
      </c>
      <c r="E19" s="618">
        <f>C19+D19</f>
        <v>98118216.545336977</v>
      </c>
      <c r="F19" s="618">
        <v>47412490.538840212</v>
      </c>
      <c r="G19" s="618">
        <v>1646617.7338282766</v>
      </c>
      <c r="H19" s="618">
        <f>F19+G19</f>
        <v>49059108.272668488</v>
      </c>
      <c r="I19" s="618">
        <v>113776915.24280438</v>
      </c>
      <c r="J19" s="618">
        <v>104780834.19212577</v>
      </c>
      <c r="K19" s="617">
        <f>I19+J19</f>
        <v>218557749.43493015</v>
      </c>
    </row>
    <row r="20" spans="1:11">
      <c r="A20" s="219">
        <v>11</v>
      </c>
      <c r="B20" s="220" t="s">
        <v>264</v>
      </c>
      <c r="C20" s="623"/>
      <c r="D20" s="624"/>
      <c r="E20" s="624"/>
      <c r="F20" s="624"/>
      <c r="G20" s="624"/>
      <c r="H20" s="624"/>
      <c r="I20" s="624"/>
      <c r="J20" s="624"/>
      <c r="K20" s="221"/>
    </row>
    <row r="21" spans="1:11" ht="14.4" thickBot="1">
      <c r="A21" s="223">
        <v>12</v>
      </c>
      <c r="B21" s="224" t="s">
        <v>263</v>
      </c>
      <c r="C21" s="625">
        <f>SUM(C18:C20)</f>
        <v>94824981.077680424</v>
      </c>
      <c r="D21" s="625">
        <f t="shared" ref="D21:K21" si="4">SUM(D18:D20)</f>
        <v>3293235.4676565533</v>
      </c>
      <c r="E21" s="625">
        <f t="shared" si="4"/>
        <v>98118216.545336977</v>
      </c>
      <c r="F21" s="625">
        <f t="shared" si="4"/>
        <v>47412490.538840212</v>
      </c>
      <c r="G21" s="625">
        <f t="shared" si="4"/>
        <v>1646617.7338282766</v>
      </c>
      <c r="H21" s="625">
        <f t="shared" si="4"/>
        <v>49059108.272668488</v>
      </c>
      <c r="I21" s="625">
        <f t="shared" si="4"/>
        <v>113776915.24280438</v>
      </c>
      <c r="J21" s="625">
        <f t="shared" si="4"/>
        <v>104780834.19212577</v>
      </c>
      <c r="K21" s="625">
        <f t="shared" si="4"/>
        <v>218557749.43493015</v>
      </c>
    </row>
    <row r="22" spans="1:11" ht="38.25" customHeight="1" thickBot="1">
      <c r="A22" s="225"/>
      <c r="B22" s="226"/>
      <c r="C22" s="226"/>
      <c r="D22" s="226"/>
      <c r="E22" s="226"/>
      <c r="F22" s="764" t="s">
        <v>305</v>
      </c>
      <c r="G22" s="762"/>
      <c r="H22" s="762"/>
      <c r="I22" s="764" t="s">
        <v>270</v>
      </c>
      <c r="J22" s="762"/>
      <c r="K22" s="763"/>
    </row>
    <row r="23" spans="1:11" ht="14.4" thickBot="1">
      <c r="A23" s="227">
        <v>13</v>
      </c>
      <c r="B23" s="228" t="s">
        <v>255</v>
      </c>
      <c r="C23" s="229"/>
      <c r="D23" s="229"/>
      <c r="E23" s="229"/>
      <c r="F23" s="626">
        <f>F8</f>
        <v>129257748.15500356</v>
      </c>
      <c r="G23" s="626">
        <f>G8</f>
        <v>181108508.66558778</v>
      </c>
      <c r="H23" s="627">
        <f>F23+G23</f>
        <v>310366256.82059133</v>
      </c>
      <c r="I23" s="626">
        <f>I8</f>
        <v>115577351.7664516</v>
      </c>
      <c r="J23" s="626">
        <f>J8</f>
        <v>78141272.027620077</v>
      </c>
      <c r="K23" s="628">
        <f>I23+J23</f>
        <v>193718623.79407167</v>
      </c>
    </row>
    <row r="24" spans="1:11" ht="14.4" thickBot="1">
      <c r="A24" s="230">
        <v>14</v>
      </c>
      <c r="B24" s="231" t="s">
        <v>267</v>
      </c>
      <c r="C24" s="232"/>
      <c r="D24" s="233"/>
      <c r="E24" s="234"/>
      <c r="F24" s="629">
        <f>MAX(F16-F21,F16*0.25)</f>
        <v>107593956.37453669</v>
      </c>
      <c r="G24" s="629">
        <f>MAX(G16-G21,G16*0.25)</f>
        <v>82702675.845925584</v>
      </c>
      <c r="H24" s="627">
        <f>F24+G24</f>
        <v>190296632.22046226</v>
      </c>
      <c r="I24" s="629">
        <f>MAX(I16-I21,I16*0.25)</f>
        <v>23343707.82940387</v>
      </c>
      <c r="J24" s="629">
        <f>MAX(J16-J21,J16*0.25)</f>
        <v>8817490.1463215072</v>
      </c>
      <c r="K24" s="628">
        <f>I24+J24</f>
        <v>32161197.975725375</v>
      </c>
    </row>
    <row r="25" spans="1:11" ht="14.4" thickBot="1">
      <c r="A25" s="235">
        <v>15</v>
      </c>
      <c r="B25" s="236" t="s">
        <v>268</v>
      </c>
      <c r="C25" s="237"/>
      <c r="D25" s="237"/>
      <c r="E25" s="237"/>
      <c r="F25" s="630">
        <f t="shared" ref="F25:K25" si="5">F23/F24</f>
        <v>1.2013476640365819</v>
      </c>
      <c r="G25" s="630">
        <f t="shared" si="5"/>
        <v>2.1898748355251705</v>
      </c>
      <c r="H25" s="630">
        <f t="shared" si="5"/>
        <v>1.6309603233599328</v>
      </c>
      <c r="I25" s="630">
        <f t="shared" si="5"/>
        <v>4.9511137052901981</v>
      </c>
      <c r="J25" s="630">
        <f t="shared" si="5"/>
        <v>8.8620764787833828</v>
      </c>
      <c r="K25" s="631">
        <f t="shared" si="5"/>
        <v>6.0233646750437151</v>
      </c>
    </row>
    <row r="27" spans="1:11" ht="27">
      <c r="B27" s="210" t="s">
        <v>304</v>
      </c>
    </row>
  </sheetData>
  <mergeCells count="6">
    <mergeCell ref="A5:B5"/>
    <mergeCell ref="C5:E5"/>
    <mergeCell ref="F5:H5"/>
    <mergeCell ref="I5:K5"/>
    <mergeCell ref="F22:H22"/>
    <mergeCell ref="I22:K22"/>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19"/>
  </cols>
  <sheetData>
    <row r="1" spans="1:14">
      <c r="A1" s="4" t="s">
        <v>30</v>
      </c>
      <c r="B1" s="3" t="str">
        <f>'Info '!C2</f>
        <v>JSC "CREDOBANK"</v>
      </c>
    </row>
    <row r="2" spans="1:14" ht="14.25" customHeight="1">
      <c r="A2" s="4" t="s">
        <v>31</v>
      </c>
      <c r="B2" s="330">
        <f>'1. key ratios '!B2</f>
        <v>45291</v>
      </c>
    </row>
    <row r="3" spans="1:14" ht="14.25" customHeight="1"/>
    <row r="4" spans="1:14" ht="13.8" thickBot="1">
      <c r="A4" s="4" t="s">
        <v>163</v>
      </c>
      <c r="B4" s="164" t="s">
        <v>28</v>
      </c>
    </row>
    <row r="5" spans="1:14" s="116" customFormat="1">
      <c r="A5" s="112"/>
      <c r="B5" s="113"/>
      <c r="C5" s="114" t="s">
        <v>0</v>
      </c>
      <c r="D5" s="114" t="s">
        <v>1</v>
      </c>
      <c r="E5" s="114" t="s">
        <v>2</v>
      </c>
      <c r="F5" s="114" t="s">
        <v>3</v>
      </c>
      <c r="G5" s="114" t="s">
        <v>4</v>
      </c>
      <c r="H5" s="114" t="s">
        <v>5</v>
      </c>
      <c r="I5" s="114" t="s">
        <v>8</v>
      </c>
      <c r="J5" s="114" t="s">
        <v>9</v>
      </c>
      <c r="K5" s="114" t="s">
        <v>10</v>
      </c>
      <c r="L5" s="114" t="s">
        <v>11</v>
      </c>
      <c r="M5" s="114" t="s">
        <v>12</v>
      </c>
      <c r="N5" s="115" t="s">
        <v>13</v>
      </c>
    </row>
    <row r="6" spans="1:14" ht="26.4">
      <c r="A6" s="117"/>
      <c r="B6" s="118"/>
      <c r="C6" s="119" t="s">
        <v>162</v>
      </c>
      <c r="D6" s="120" t="s">
        <v>161</v>
      </c>
      <c r="E6" s="121" t="s">
        <v>160</v>
      </c>
      <c r="F6" s="122">
        <v>0</v>
      </c>
      <c r="G6" s="122">
        <v>0.2</v>
      </c>
      <c r="H6" s="122">
        <v>0.35</v>
      </c>
      <c r="I6" s="122">
        <v>0.5</v>
      </c>
      <c r="J6" s="122">
        <v>0.75</v>
      </c>
      <c r="K6" s="122">
        <v>1</v>
      </c>
      <c r="L6" s="122">
        <v>1.5</v>
      </c>
      <c r="M6" s="122">
        <v>2.5</v>
      </c>
      <c r="N6" s="163" t="s">
        <v>169</v>
      </c>
    </row>
    <row r="7" spans="1:14" ht="13.8">
      <c r="A7" s="123">
        <v>1</v>
      </c>
      <c r="B7" s="124" t="s">
        <v>159</v>
      </c>
      <c r="C7" s="125">
        <f>SUM(C8:C13)</f>
        <v>230946324.5</v>
      </c>
      <c r="D7" s="118"/>
      <c r="E7" s="126">
        <f t="shared" ref="E7:M7" si="0">SUM(E8:E13)</f>
        <v>4618926.49</v>
      </c>
      <c r="F7" s="127">
        <f>SUM(F8:F13)</f>
        <v>0</v>
      </c>
      <c r="G7" s="127">
        <f t="shared" si="0"/>
        <v>0</v>
      </c>
      <c r="H7" s="127">
        <f t="shared" si="0"/>
        <v>0</v>
      </c>
      <c r="I7" s="127">
        <f t="shared" si="0"/>
        <v>0</v>
      </c>
      <c r="J7" s="127">
        <f t="shared" si="0"/>
        <v>0</v>
      </c>
      <c r="K7" s="127">
        <f t="shared" si="0"/>
        <v>4618926.49</v>
      </c>
      <c r="L7" s="127">
        <f t="shared" si="0"/>
        <v>0</v>
      </c>
      <c r="M7" s="127">
        <f t="shared" si="0"/>
        <v>0</v>
      </c>
      <c r="N7" s="128">
        <f>SUM(N8:N13)</f>
        <v>4618926.49</v>
      </c>
    </row>
    <row r="8" spans="1:14" ht="13.8">
      <c r="A8" s="123">
        <v>1.1000000000000001</v>
      </c>
      <c r="B8" s="129" t="s">
        <v>157</v>
      </c>
      <c r="C8" s="127">
        <v>230946324.5</v>
      </c>
      <c r="D8" s="130">
        <v>0.02</v>
      </c>
      <c r="E8" s="126">
        <f>C8*D8</f>
        <v>4618926.49</v>
      </c>
      <c r="F8" s="127"/>
      <c r="G8" s="127"/>
      <c r="H8" s="127"/>
      <c r="I8" s="127"/>
      <c r="J8" s="127"/>
      <c r="K8" s="127">
        <v>4618926.49</v>
      </c>
      <c r="L8" s="127"/>
      <c r="M8" s="127"/>
      <c r="N8" s="128">
        <f>SUMPRODUCT($F$6:$M$6,F8:M8)</f>
        <v>4618926.49</v>
      </c>
    </row>
    <row r="9" spans="1:14" ht="13.8">
      <c r="A9" s="123">
        <v>1.2</v>
      </c>
      <c r="B9" s="129" t="s">
        <v>156</v>
      </c>
      <c r="C9" s="127">
        <v>0</v>
      </c>
      <c r="D9" s="130">
        <v>0.05</v>
      </c>
      <c r="E9" s="126">
        <f>C9*D9</f>
        <v>0</v>
      </c>
      <c r="F9" s="127"/>
      <c r="G9" s="127"/>
      <c r="H9" s="127"/>
      <c r="I9" s="127"/>
      <c r="J9" s="127"/>
      <c r="K9" s="127"/>
      <c r="L9" s="127"/>
      <c r="M9" s="127"/>
      <c r="N9" s="128">
        <f t="shared" ref="N9:N12" si="1">SUMPRODUCT($F$6:$M$6,F9:M9)</f>
        <v>0</v>
      </c>
    </row>
    <row r="10" spans="1:14" ht="13.8">
      <c r="A10" s="123">
        <v>1.3</v>
      </c>
      <c r="B10" s="129" t="s">
        <v>155</v>
      </c>
      <c r="C10" s="127">
        <v>0</v>
      </c>
      <c r="D10" s="130">
        <v>0.08</v>
      </c>
      <c r="E10" s="126">
        <f>C10*D10</f>
        <v>0</v>
      </c>
      <c r="F10" s="127"/>
      <c r="G10" s="127"/>
      <c r="H10" s="127"/>
      <c r="I10" s="127"/>
      <c r="J10" s="127"/>
      <c r="K10" s="127"/>
      <c r="L10" s="127"/>
      <c r="M10" s="127"/>
      <c r="N10" s="128">
        <f>SUMPRODUCT($F$6:$M$6,F10:M10)</f>
        <v>0</v>
      </c>
    </row>
    <row r="11" spans="1:14" ht="13.8">
      <c r="A11" s="123">
        <v>1.4</v>
      </c>
      <c r="B11" s="129" t="s">
        <v>154</v>
      </c>
      <c r="C11" s="127">
        <v>0</v>
      </c>
      <c r="D11" s="130">
        <v>0.11</v>
      </c>
      <c r="E11" s="126">
        <f>C11*D11</f>
        <v>0</v>
      </c>
      <c r="F11" s="127"/>
      <c r="G11" s="127"/>
      <c r="H11" s="127"/>
      <c r="I11" s="127"/>
      <c r="J11" s="127"/>
      <c r="K11" s="127"/>
      <c r="L11" s="127"/>
      <c r="M11" s="127"/>
      <c r="N11" s="128">
        <f t="shared" si="1"/>
        <v>0</v>
      </c>
    </row>
    <row r="12" spans="1:14" ht="13.8">
      <c r="A12" s="123">
        <v>1.5</v>
      </c>
      <c r="B12" s="129" t="s">
        <v>153</v>
      </c>
      <c r="C12" s="127">
        <v>0</v>
      </c>
      <c r="D12" s="130">
        <v>0.14000000000000001</v>
      </c>
      <c r="E12" s="126">
        <f>C12*D12</f>
        <v>0</v>
      </c>
      <c r="F12" s="127"/>
      <c r="G12" s="127"/>
      <c r="H12" s="127"/>
      <c r="I12" s="127"/>
      <c r="J12" s="127"/>
      <c r="K12" s="127"/>
      <c r="L12" s="127"/>
      <c r="M12" s="127"/>
      <c r="N12" s="128">
        <f t="shared" si="1"/>
        <v>0</v>
      </c>
    </row>
    <row r="13" spans="1:14" ht="13.8">
      <c r="A13" s="123">
        <v>1.6</v>
      </c>
      <c r="B13" s="131" t="s">
        <v>152</v>
      </c>
      <c r="C13" s="127">
        <v>0</v>
      </c>
      <c r="D13" s="132"/>
      <c r="E13" s="127"/>
      <c r="F13" s="127"/>
      <c r="G13" s="127"/>
      <c r="H13" s="127"/>
      <c r="I13" s="127"/>
      <c r="J13" s="127"/>
      <c r="K13" s="127"/>
      <c r="L13" s="127"/>
      <c r="M13" s="127"/>
      <c r="N13" s="128">
        <f>SUMPRODUCT($F$6:$M$6,F13:M13)</f>
        <v>0</v>
      </c>
    </row>
    <row r="14" spans="1:14" ht="13.8">
      <c r="A14" s="123">
        <v>2</v>
      </c>
      <c r="B14" s="133" t="s">
        <v>158</v>
      </c>
      <c r="C14" s="125">
        <f>SUM(C15:C20)</f>
        <v>0</v>
      </c>
      <c r="D14" s="118"/>
      <c r="E14" s="126">
        <f t="shared" ref="E14:M14" si="2">SUM(E15:E20)</f>
        <v>0</v>
      </c>
      <c r="F14" s="127">
        <f t="shared" si="2"/>
        <v>0</v>
      </c>
      <c r="G14" s="127">
        <f t="shared" si="2"/>
        <v>0</v>
      </c>
      <c r="H14" s="127">
        <f t="shared" si="2"/>
        <v>0</v>
      </c>
      <c r="I14" s="127">
        <f t="shared" si="2"/>
        <v>0</v>
      </c>
      <c r="J14" s="127">
        <f t="shared" si="2"/>
        <v>0</v>
      </c>
      <c r="K14" s="127">
        <f t="shared" si="2"/>
        <v>0</v>
      </c>
      <c r="L14" s="127">
        <f t="shared" si="2"/>
        <v>0</v>
      </c>
      <c r="M14" s="127">
        <f t="shared" si="2"/>
        <v>0</v>
      </c>
      <c r="N14" s="128">
        <f>SUM(N15:N20)</f>
        <v>0</v>
      </c>
    </row>
    <row r="15" spans="1:14" ht="13.8">
      <c r="A15" s="123">
        <v>2.1</v>
      </c>
      <c r="B15" s="131" t="s">
        <v>157</v>
      </c>
      <c r="C15" s="127"/>
      <c r="D15" s="130">
        <v>5.0000000000000001E-3</v>
      </c>
      <c r="E15" s="126">
        <f>C15*D15</f>
        <v>0</v>
      </c>
      <c r="F15" s="127"/>
      <c r="G15" s="127"/>
      <c r="H15" s="127"/>
      <c r="I15" s="127"/>
      <c r="J15" s="127"/>
      <c r="K15" s="127"/>
      <c r="L15" s="127"/>
      <c r="M15" s="127"/>
      <c r="N15" s="128">
        <f>SUMPRODUCT($F$6:$M$6,F15:M15)</f>
        <v>0</v>
      </c>
    </row>
    <row r="16" spans="1:14" ht="13.8">
      <c r="A16" s="123">
        <v>2.2000000000000002</v>
      </c>
      <c r="B16" s="131" t="s">
        <v>156</v>
      </c>
      <c r="C16" s="127"/>
      <c r="D16" s="130">
        <v>0.01</v>
      </c>
      <c r="E16" s="126">
        <f>C16*D16</f>
        <v>0</v>
      </c>
      <c r="F16" s="127"/>
      <c r="G16" s="127"/>
      <c r="H16" s="127"/>
      <c r="I16" s="127"/>
      <c r="J16" s="127"/>
      <c r="K16" s="127"/>
      <c r="L16" s="127"/>
      <c r="M16" s="127"/>
      <c r="N16" s="128">
        <f t="shared" ref="N16:N20" si="3">SUMPRODUCT($F$6:$M$6,F16:M16)</f>
        <v>0</v>
      </c>
    </row>
    <row r="17" spans="1:14" ht="13.8">
      <c r="A17" s="123">
        <v>2.2999999999999998</v>
      </c>
      <c r="B17" s="131" t="s">
        <v>155</v>
      </c>
      <c r="C17" s="127"/>
      <c r="D17" s="130">
        <v>0.02</v>
      </c>
      <c r="E17" s="126">
        <f>C17*D17</f>
        <v>0</v>
      </c>
      <c r="F17" s="127"/>
      <c r="G17" s="127"/>
      <c r="H17" s="127"/>
      <c r="I17" s="127"/>
      <c r="J17" s="127"/>
      <c r="K17" s="127"/>
      <c r="L17" s="127"/>
      <c r="M17" s="127"/>
      <c r="N17" s="128">
        <f t="shared" si="3"/>
        <v>0</v>
      </c>
    </row>
    <row r="18" spans="1:14" ht="13.8">
      <c r="A18" s="123">
        <v>2.4</v>
      </c>
      <c r="B18" s="131" t="s">
        <v>154</v>
      </c>
      <c r="C18" s="127"/>
      <c r="D18" s="130">
        <v>0.03</v>
      </c>
      <c r="E18" s="126">
        <f>C18*D18</f>
        <v>0</v>
      </c>
      <c r="F18" s="127"/>
      <c r="G18" s="127"/>
      <c r="H18" s="127"/>
      <c r="I18" s="127"/>
      <c r="J18" s="127"/>
      <c r="K18" s="127"/>
      <c r="L18" s="127"/>
      <c r="M18" s="127"/>
      <c r="N18" s="128">
        <f t="shared" si="3"/>
        <v>0</v>
      </c>
    </row>
    <row r="19" spans="1:14" ht="13.8">
      <c r="A19" s="123">
        <v>2.5</v>
      </c>
      <c r="B19" s="131" t="s">
        <v>153</v>
      </c>
      <c r="C19" s="127"/>
      <c r="D19" s="130">
        <v>0.04</v>
      </c>
      <c r="E19" s="126">
        <f>C19*D19</f>
        <v>0</v>
      </c>
      <c r="F19" s="127"/>
      <c r="G19" s="127"/>
      <c r="H19" s="127"/>
      <c r="I19" s="127"/>
      <c r="J19" s="127"/>
      <c r="K19" s="127"/>
      <c r="L19" s="127"/>
      <c r="M19" s="127"/>
      <c r="N19" s="128">
        <f t="shared" si="3"/>
        <v>0</v>
      </c>
    </row>
    <row r="20" spans="1:14" ht="13.8">
      <c r="A20" s="123">
        <v>2.6</v>
      </c>
      <c r="B20" s="131" t="s">
        <v>152</v>
      </c>
      <c r="C20" s="127"/>
      <c r="D20" s="132"/>
      <c r="E20" s="134"/>
      <c r="F20" s="127"/>
      <c r="G20" s="127"/>
      <c r="H20" s="127"/>
      <c r="I20" s="127"/>
      <c r="J20" s="127"/>
      <c r="K20" s="127"/>
      <c r="L20" s="127"/>
      <c r="M20" s="127"/>
      <c r="N20" s="128">
        <f t="shared" si="3"/>
        <v>0</v>
      </c>
    </row>
    <row r="21" spans="1:14" ht="14.4" thickBot="1">
      <c r="A21" s="135"/>
      <c r="B21" s="136" t="s">
        <v>64</v>
      </c>
      <c r="C21" s="111">
        <f>C14+C7</f>
        <v>230946324.5</v>
      </c>
      <c r="D21" s="137"/>
      <c r="E21" s="138">
        <f>E14+E7</f>
        <v>4618926.49</v>
      </c>
      <c r="F21" s="139">
        <f>F7+F14</f>
        <v>0</v>
      </c>
      <c r="G21" s="139">
        <f t="shared" ref="G21:L21" si="4">G7+G14</f>
        <v>0</v>
      </c>
      <c r="H21" s="139">
        <f t="shared" si="4"/>
        <v>0</v>
      </c>
      <c r="I21" s="139">
        <f t="shared" si="4"/>
        <v>0</v>
      </c>
      <c r="J21" s="139">
        <f t="shared" si="4"/>
        <v>0</v>
      </c>
      <c r="K21" s="139">
        <f t="shared" si="4"/>
        <v>4618926.49</v>
      </c>
      <c r="L21" s="139">
        <f t="shared" si="4"/>
        <v>0</v>
      </c>
      <c r="M21" s="139">
        <f>M7+M14</f>
        <v>0</v>
      </c>
      <c r="N21" s="140">
        <f>N14+N7</f>
        <v>4618926.49</v>
      </c>
    </row>
    <row r="22" spans="1:14">
      <c r="E22" s="141"/>
      <c r="F22" s="141"/>
      <c r="G22" s="141"/>
      <c r="H22" s="141"/>
      <c r="I22" s="141"/>
      <c r="J22" s="141"/>
      <c r="K22" s="141"/>
      <c r="L22" s="141"/>
      <c r="M22" s="141"/>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0" zoomScale="90" zoomScaleNormal="90" workbookViewId="0">
      <selection activeCell="C35" sqref="C35"/>
    </sheetView>
  </sheetViews>
  <sheetFormatPr defaultRowHeight="14.4"/>
  <cols>
    <col min="1" max="1" width="11.44140625" customWidth="1"/>
    <col min="2" max="2" width="76.77734375" style="264" customWidth="1"/>
    <col min="3" max="3" width="22.77734375" customWidth="1"/>
  </cols>
  <sheetData>
    <row r="1" spans="1:3">
      <c r="A1" s="2" t="s">
        <v>30</v>
      </c>
      <c r="B1" s="3" t="str">
        <f>'Info '!C2</f>
        <v>JSC "CREDOBANK"</v>
      </c>
    </row>
    <row r="2" spans="1:3">
      <c r="A2" s="2" t="s">
        <v>31</v>
      </c>
      <c r="B2" s="330">
        <f>'1. key ratios '!B2</f>
        <v>45291</v>
      </c>
    </row>
    <row r="3" spans="1:3">
      <c r="A3" s="4"/>
      <c r="B3"/>
    </row>
    <row r="4" spans="1:3">
      <c r="A4" s="4" t="s">
        <v>309</v>
      </c>
      <c r="B4" t="s">
        <v>310</v>
      </c>
    </row>
    <row r="5" spans="1:3">
      <c r="A5" s="265" t="s">
        <v>311</v>
      </c>
      <c r="B5" s="266"/>
      <c r="C5" s="267"/>
    </row>
    <row r="6" spans="1:3">
      <c r="A6" s="268">
        <v>1</v>
      </c>
      <c r="B6" s="269" t="s">
        <v>362</v>
      </c>
      <c r="C6" s="632">
        <v>2469907350.3400249</v>
      </c>
    </row>
    <row r="7" spans="1:3">
      <c r="A7" s="268">
        <v>2</v>
      </c>
      <c r="B7" s="269" t="s">
        <v>312</v>
      </c>
      <c r="C7" s="632">
        <v>24667339.510000005</v>
      </c>
    </row>
    <row r="8" spans="1:3" ht="24">
      <c r="A8" s="271">
        <v>3</v>
      </c>
      <c r="B8" s="272" t="s">
        <v>313</v>
      </c>
      <c r="C8" s="270">
        <f>C6-C7</f>
        <v>2445240010.8300247</v>
      </c>
    </row>
    <row r="9" spans="1:3">
      <c r="A9" s="265" t="s">
        <v>314</v>
      </c>
      <c r="B9" s="266"/>
      <c r="C9" s="273"/>
    </row>
    <row r="10" spans="1:3">
      <c r="A10" s="274">
        <v>4</v>
      </c>
      <c r="B10" s="275" t="s">
        <v>315</v>
      </c>
      <c r="C10" s="270"/>
    </row>
    <row r="11" spans="1:3">
      <c r="A11" s="274">
        <v>5</v>
      </c>
      <c r="B11" s="276" t="s">
        <v>316</v>
      </c>
      <c r="C11" s="270"/>
    </row>
    <row r="12" spans="1:3">
      <c r="A12" s="274" t="s">
        <v>317</v>
      </c>
      <c r="B12" s="276" t="s">
        <v>318</v>
      </c>
      <c r="C12" s="633">
        <f>'[4]15. CCR'!E21</f>
        <v>4618926.49</v>
      </c>
    </row>
    <row r="13" spans="1:3" ht="22.8">
      <c r="A13" s="277">
        <v>6</v>
      </c>
      <c r="B13" s="275" t="s">
        <v>319</v>
      </c>
      <c r="C13" s="270"/>
    </row>
    <row r="14" spans="1:3">
      <c r="A14" s="277">
        <v>7</v>
      </c>
      <c r="B14" s="278" t="s">
        <v>320</v>
      </c>
      <c r="C14" s="270"/>
    </row>
    <row r="15" spans="1:3">
      <c r="A15" s="279">
        <v>8</v>
      </c>
      <c r="B15" s="280" t="s">
        <v>321</v>
      </c>
      <c r="C15" s="270"/>
    </row>
    <row r="16" spans="1:3">
      <c r="A16" s="277">
        <v>9</v>
      </c>
      <c r="B16" s="278" t="s">
        <v>322</v>
      </c>
      <c r="C16" s="270"/>
    </row>
    <row r="17" spans="1:3">
      <c r="A17" s="277">
        <v>10</v>
      </c>
      <c r="B17" s="278" t="s">
        <v>323</v>
      </c>
      <c r="C17" s="270"/>
    </row>
    <row r="18" spans="1:3">
      <c r="A18" s="281">
        <v>11</v>
      </c>
      <c r="B18" s="282" t="s">
        <v>324</v>
      </c>
      <c r="C18" s="283">
        <f>SUM(C10:C17)</f>
        <v>4618926.49</v>
      </c>
    </row>
    <row r="19" spans="1:3">
      <c r="A19" s="284" t="s">
        <v>325</v>
      </c>
      <c r="B19" s="285"/>
      <c r="C19" s="286"/>
    </row>
    <row r="20" spans="1:3">
      <c r="A20" s="287">
        <v>12</v>
      </c>
      <c r="B20" s="275" t="s">
        <v>326</v>
      </c>
      <c r="C20" s="270"/>
    </row>
    <row r="21" spans="1:3">
      <c r="A21" s="287">
        <v>13</v>
      </c>
      <c r="B21" s="275" t="s">
        <v>327</v>
      </c>
      <c r="C21" s="270"/>
    </row>
    <row r="22" spans="1:3">
      <c r="A22" s="287">
        <v>14</v>
      </c>
      <c r="B22" s="275" t="s">
        <v>328</v>
      </c>
      <c r="C22" s="270"/>
    </row>
    <row r="23" spans="1:3" ht="22.8">
      <c r="A23" s="287" t="s">
        <v>329</v>
      </c>
      <c r="B23" s="275" t="s">
        <v>330</v>
      </c>
      <c r="C23" s="270"/>
    </row>
    <row r="24" spans="1:3">
      <c r="A24" s="287">
        <v>15</v>
      </c>
      <c r="B24" s="275" t="s">
        <v>331</v>
      </c>
      <c r="C24" s="270"/>
    </row>
    <row r="25" spans="1:3">
      <c r="A25" s="287" t="s">
        <v>332</v>
      </c>
      <c r="B25" s="275" t="s">
        <v>333</v>
      </c>
      <c r="C25" s="270"/>
    </row>
    <row r="26" spans="1:3">
      <c r="A26" s="288">
        <v>16</v>
      </c>
      <c r="B26" s="289" t="s">
        <v>334</v>
      </c>
      <c r="C26" s="283">
        <f>SUM(C20:C25)</f>
        <v>0</v>
      </c>
    </row>
    <row r="27" spans="1:3">
      <c r="A27" s="265" t="s">
        <v>335</v>
      </c>
      <c r="B27" s="266"/>
      <c r="C27" s="273"/>
    </row>
    <row r="28" spans="1:3">
      <c r="A28" s="290">
        <v>17</v>
      </c>
      <c r="B28" s="276" t="s">
        <v>336</v>
      </c>
      <c r="C28" s="270">
        <v>56199564</v>
      </c>
    </row>
    <row r="29" spans="1:3">
      <c r="A29" s="290">
        <v>18</v>
      </c>
      <c r="B29" s="276" t="s">
        <v>337</v>
      </c>
      <c r="C29" s="270">
        <v>-28427648</v>
      </c>
    </row>
    <row r="30" spans="1:3">
      <c r="A30" s="288">
        <v>19</v>
      </c>
      <c r="B30" s="289" t="s">
        <v>338</v>
      </c>
      <c r="C30" s="283">
        <f>C28+C29</f>
        <v>27771916</v>
      </c>
    </row>
    <row r="31" spans="1:3">
      <c r="A31" s="265" t="s">
        <v>339</v>
      </c>
      <c r="B31" s="266"/>
      <c r="C31" s="273"/>
    </row>
    <row r="32" spans="1:3" ht="22.8">
      <c r="A32" s="290" t="s">
        <v>340</v>
      </c>
      <c r="B32" s="275" t="s">
        <v>341</v>
      </c>
      <c r="C32" s="291"/>
    </row>
    <row r="33" spans="1:3">
      <c r="A33" s="290" t="s">
        <v>342</v>
      </c>
      <c r="B33" s="276" t="s">
        <v>343</v>
      </c>
      <c r="C33" s="291"/>
    </row>
    <row r="34" spans="1:3">
      <c r="A34" s="265" t="s">
        <v>344</v>
      </c>
      <c r="B34" s="266"/>
      <c r="C34" s="273"/>
    </row>
    <row r="35" spans="1:3">
      <c r="A35" s="292">
        <v>20</v>
      </c>
      <c r="B35" s="293" t="s">
        <v>345</v>
      </c>
      <c r="C35" s="633">
        <v>282252213.47002703</v>
      </c>
    </row>
    <row r="36" spans="1:3">
      <c r="A36" s="288">
        <v>21</v>
      </c>
      <c r="B36" s="289" t="s">
        <v>346</v>
      </c>
      <c r="C36" s="633">
        <f>C8+C18+C26+C30</f>
        <v>2477630853.3200245</v>
      </c>
    </row>
    <row r="37" spans="1:3">
      <c r="A37" s="265" t="s">
        <v>347</v>
      </c>
      <c r="B37" s="266"/>
      <c r="C37" s="273"/>
    </row>
    <row r="38" spans="1:3">
      <c r="A38" s="288">
        <v>22</v>
      </c>
      <c r="B38" s="289" t="s">
        <v>347</v>
      </c>
      <c r="C38" s="634">
        <f t="shared" ref="C38" si="0">C35/C36</f>
        <v>0.11392020449366344</v>
      </c>
    </row>
    <row r="39" spans="1:3">
      <c r="A39" s="265" t="s">
        <v>348</v>
      </c>
      <c r="B39" s="266"/>
      <c r="C39" s="273"/>
    </row>
    <row r="40" spans="1:3">
      <c r="A40" s="294" t="s">
        <v>349</v>
      </c>
      <c r="B40" s="275" t="s">
        <v>350</v>
      </c>
      <c r="C40" s="291"/>
    </row>
    <row r="41" spans="1:3" ht="22.8">
      <c r="A41" s="295" t="s">
        <v>351</v>
      </c>
      <c r="B41" s="269" t="s">
        <v>352</v>
      </c>
      <c r="C41" s="291"/>
    </row>
    <row r="43" spans="1:3">
      <c r="B43" s="264" t="s">
        <v>363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4" activePane="bottomRight" state="frozen"/>
      <selection pane="topRight" activeCell="C1" sqref="C1"/>
      <selection pane="bottomLeft" activeCell="A6" sqref="A6"/>
      <selection pane="bottomRight" activeCell="G35" sqref="G35"/>
    </sheetView>
  </sheetViews>
  <sheetFormatPr defaultRowHeight="14.4"/>
  <cols>
    <col min="1" max="1" width="8.77734375" style="170"/>
    <col min="2" max="2" width="82.6640625" style="177" customWidth="1"/>
    <col min="3" max="7" width="17.5546875" style="170" customWidth="1"/>
  </cols>
  <sheetData>
    <row r="1" spans="1:7">
      <c r="A1" s="170" t="s">
        <v>30</v>
      </c>
      <c r="B1" s="3" t="str">
        <f>'Info '!C2</f>
        <v>JSC "CREDOBANK"</v>
      </c>
    </row>
    <row r="2" spans="1:7">
      <c r="A2" s="170" t="s">
        <v>31</v>
      </c>
      <c r="B2" s="330">
        <f>'1. key ratios '!B2</f>
        <v>45291</v>
      </c>
    </row>
    <row r="4" spans="1:7" ht="15" thickBot="1">
      <c r="A4" s="170" t="s">
        <v>413</v>
      </c>
      <c r="B4" s="336" t="s">
        <v>374</v>
      </c>
    </row>
    <row r="5" spans="1:7">
      <c r="A5" s="337"/>
      <c r="B5" s="338"/>
      <c r="C5" s="765" t="s">
        <v>375</v>
      </c>
      <c r="D5" s="765"/>
      <c r="E5" s="765"/>
      <c r="F5" s="765"/>
      <c r="G5" s="766" t="s">
        <v>376</v>
      </c>
    </row>
    <row r="6" spans="1:7">
      <c r="A6" s="339"/>
      <c r="B6" s="340"/>
      <c r="C6" s="341" t="s">
        <v>377</v>
      </c>
      <c r="D6" s="341" t="s">
        <v>378</v>
      </c>
      <c r="E6" s="341" t="s">
        <v>379</v>
      </c>
      <c r="F6" s="341" t="s">
        <v>380</v>
      </c>
      <c r="G6" s="767"/>
    </row>
    <row r="7" spans="1:7">
      <c r="A7" s="342"/>
      <c r="B7" s="343" t="s">
        <v>381</v>
      </c>
      <c r="C7" s="344"/>
      <c r="D7" s="344"/>
      <c r="E7" s="344"/>
      <c r="F7" s="344"/>
      <c r="G7" s="345"/>
    </row>
    <row r="8" spans="1:7">
      <c r="A8" s="346">
        <v>1</v>
      </c>
      <c r="B8" s="347" t="s">
        <v>382</v>
      </c>
      <c r="C8" s="699">
        <f>SUM(C9:C10)</f>
        <v>282252213.47002703</v>
      </c>
      <c r="D8" s="348">
        <f>SUM(D9:D10)</f>
        <v>0</v>
      </c>
      <c r="E8" s="348">
        <f>SUM(E9:E10)</f>
        <v>0</v>
      </c>
      <c r="F8" s="699">
        <f>SUM(F9:F10)</f>
        <v>741716476.5</v>
      </c>
      <c r="G8" s="349">
        <f>SUM(G9:G10)</f>
        <v>1023968689.970027</v>
      </c>
    </row>
    <row r="9" spans="1:7">
      <c r="A9" s="346">
        <v>2</v>
      </c>
      <c r="B9" s="350" t="s">
        <v>383</v>
      </c>
      <c r="C9" s="348">
        <v>282252213.47002703</v>
      </c>
      <c r="D9" s="348"/>
      <c r="E9" s="348"/>
      <c r="F9" s="348">
        <v>94580722</v>
      </c>
      <c r="G9" s="349">
        <f>C9+F9</f>
        <v>376832935.47002703</v>
      </c>
    </row>
    <row r="10" spans="1:7" ht="27.6">
      <c r="A10" s="346">
        <v>3</v>
      </c>
      <c r="B10" s="350" t="s">
        <v>384</v>
      </c>
      <c r="C10" s="351"/>
      <c r="D10" s="351"/>
      <c r="E10" s="351"/>
      <c r="F10" s="348">
        <v>647135754.5</v>
      </c>
      <c r="G10" s="349">
        <f>C10+F10</f>
        <v>647135754.5</v>
      </c>
    </row>
    <row r="11" spans="1:7" ht="14.55" customHeight="1">
      <c r="A11" s="346">
        <v>4</v>
      </c>
      <c r="B11" s="347" t="s">
        <v>385</v>
      </c>
      <c r="C11" s="699">
        <f t="shared" ref="C11:F11" si="0">SUM(C12:C13)</f>
        <v>242782894.82999998</v>
      </c>
      <c r="D11" s="699">
        <f t="shared" si="0"/>
        <v>226163848.56809705</v>
      </c>
      <c r="E11" s="699">
        <f t="shared" si="0"/>
        <v>104157305.01561891</v>
      </c>
      <c r="F11" s="699">
        <f t="shared" si="0"/>
        <v>33767211.25849317</v>
      </c>
      <c r="G11" s="355">
        <f>SUM(G12:G13)</f>
        <v>469930444.90360779</v>
      </c>
    </row>
    <row r="12" spans="1:7">
      <c r="A12" s="346">
        <v>5</v>
      </c>
      <c r="B12" s="350" t="s">
        <v>386</v>
      </c>
      <c r="C12" s="348">
        <v>100887866.83</v>
      </c>
      <c r="D12" s="352">
        <v>153360755.88847613</v>
      </c>
      <c r="E12" s="348">
        <v>86556209.864971697</v>
      </c>
      <c r="F12" s="348">
        <v>29183645.344337165</v>
      </c>
      <c r="G12" s="349">
        <f>SUM(C12:F12)*0.95</f>
        <v>351489054.03139573</v>
      </c>
    </row>
    <row r="13" spans="1:7">
      <c r="A13" s="346">
        <v>6</v>
      </c>
      <c r="B13" s="350" t="s">
        <v>387</v>
      </c>
      <c r="C13" s="348">
        <v>141895028</v>
      </c>
      <c r="D13" s="352">
        <v>72803092.679620907</v>
      </c>
      <c r="E13" s="348">
        <v>17601095.150647208</v>
      </c>
      <c r="F13" s="348">
        <v>4583565.9141560029</v>
      </c>
      <c r="G13" s="349">
        <f>SUM(C13:F13)*0.5</f>
        <v>118441390.87221207</v>
      </c>
    </row>
    <row r="14" spans="1:7">
      <c r="A14" s="346">
        <v>7</v>
      </c>
      <c r="B14" s="347" t="s">
        <v>388</v>
      </c>
      <c r="C14" s="699">
        <f t="shared" ref="C14:F14" si="1">SUM(C15:C16)</f>
        <v>83157993</v>
      </c>
      <c r="D14" s="699">
        <f t="shared" si="1"/>
        <v>200310216.67869589</v>
      </c>
      <c r="E14" s="699">
        <f t="shared" si="1"/>
        <v>237720975.67056197</v>
      </c>
      <c r="F14" s="699">
        <f t="shared" si="1"/>
        <v>7397055.6421200009</v>
      </c>
      <c r="G14" s="355">
        <f>SUM(G15:G16)</f>
        <v>239266250.63068894</v>
      </c>
    </row>
    <row r="15" spans="1:7" ht="41.4">
      <c r="A15" s="346">
        <v>8</v>
      </c>
      <c r="B15" s="350" t="s">
        <v>389</v>
      </c>
      <c r="C15" s="348">
        <v>83157993</v>
      </c>
      <c r="D15" s="352">
        <v>150256476.9486959</v>
      </c>
      <c r="E15" s="348">
        <v>91097862.769099236</v>
      </c>
      <c r="F15" s="348">
        <v>7397055.6421200009</v>
      </c>
      <c r="G15" s="349">
        <f>SUM(C15:F15)*0.5</f>
        <v>165954694.17995757</v>
      </c>
    </row>
    <row r="16" spans="1:7" ht="27.6">
      <c r="A16" s="346">
        <v>9</v>
      </c>
      <c r="B16" s="350" t="s">
        <v>390</v>
      </c>
      <c r="C16" s="348"/>
      <c r="D16" s="352">
        <v>50053739.729999997</v>
      </c>
      <c r="E16" s="348">
        <v>146623112.90146273</v>
      </c>
      <c r="F16" s="348"/>
      <c r="G16" s="349">
        <f>E16*0.5</f>
        <v>73311556.450731367</v>
      </c>
    </row>
    <row r="17" spans="1:7">
      <c r="A17" s="346">
        <v>10</v>
      </c>
      <c r="B17" s="347" t="s">
        <v>391</v>
      </c>
      <c r="C17" s="348"/>
      <c r="D17" s="352"/>
      <c r="E17" s="348"/>
      <c r="F17" s="348"/>
      <c r="G17" s="349"/>
    </row>
    <row r="18" spans="1:7">
      <c r="A18" s="346">
        <v>11</v>
      </c>
      <c r="B18" s="347" t="s">
        <v>392</v>
      </c>
      <c r="C18" s="699">
        <f>SUM(C19:C20)</f>
        <v>54642029.981564298</v>
      </c>
      <c r="D18" s="701">
        <f t="shared" ref="D18:G18" si="2">SUM(D19:D20)</f>
        <v>179335918.18595099</v>
      </c>
      <c r="E18" s="699">
        <f t="shared" si="2"/>
        <v>4789975.3655689918</v>
      </c>
      <c r="F18" s="699">
        <f t="shared" si="2"/>
        <v>47198417.193449497</v>
      </c>
      <c r="G18" s="349">
        <f t="shared" si="2"/>
        <v>0</v>
      </c>
    </row>
    <row r="19" spans="1:7">
      <c r="A19" s="346">
        <v>12</v>
      </c>
      <c r="B19" s="350" t="s">
        <v>393</v>
      </c>
      <c r="C19" s="351"/>
      <c r="D19" s="352"/>
      <c r="E19" s="348"/>
      <c r="F19" s="348"/>
      <c r="G19" s="349"/>
    </row>
    <row r="20" spans="1:7">
      <c r="A20" s="346">
        <v>13</v>
      </c>
      <c r="B20" s="350" t="s">
        <v>394</v>
      </c>
      <c r="C20" s="348">
        <v>54642029.981564298</v>
      </c>
      <c r="D20" s="348">
        <v>179335918.18595099</v>
      </c>
      <c r="E20" s="348">
        <v>4789975.3655689918</v>
      </c>
      <c r="F20" s="348">
        <v>47198417.193449497</v>
      </c>
      <c r="G20" s="349"/>
    </row>
    <row r="21" spans="1:7">
      <c r="A21" s="353">
        <v>14</v>
      </c>
      <c r="B21" s="354" t="s">
        <v>395</v>
      </c>
      <c r="C21" s="351"/>
      <c r="D21" s="351"/>
      <c r="E21" s="351"/>
      <c r="F21" s="351"/>
      <c r="G21" s="355">
        <f>SUM(G8,G11,G14,G17,G18)</f>
        <v>1733165385.5043237</v>
      </c>
    </row>
    <row r="22" spans="1:7">
      <c r="A22" s="356"/>
      <c r="B22" s="357" t="s">
        <v>396</v>
      </c>
      <c r="C22" s="358"/>
      <c r="D22" s="359"/>
      <c r="E22" s="358"/>
      <c r="F22" s="358"/>
      <c r="G22" s="360"/>
    </row>
    <row r="23" spans="1:7">
      <c r="A23" s="346">
        <v>15</v>
      </c>
      <c r="B23" s="347" t="s">
        <v>397</v>
      </c>
      <c r="C23" s="635">
        <v>185506735.69</v>
      </c>
      <c r="D23" s="636">
        <v>111480480</v>
      </c>
      <c r="E23" s="635">
        <v>606320</v>
      </c>
      <c r="F23" s="635">
        <v>26997180.800000001</v>
      </c>
      <c r="G23" s="355">
        <v>4306418.2246749997</v>
      </c>
    </row>
    <row r="24" spans="1:7">
      <c r="A24" s="346">
        <v>16</v>
      </c>
      <c r="B24" s="347" t="s">
        <v>398</v>
      </c>
      <c r="C24" s="637">
        <f>SUM(C25:C27,C29,C31)</f>
        <v>52282753</v>
      </c>
      <c r="D24" s="638">
        <f t="shared" ref="D24:G24" si="3">SUM(D25:D27,D29,D31)</f>
        <v>597318536.92821515</v>
      </c>
      <c r="E24" s="637">
        <f t="shared" si="3"/>
        <v>229184205.3920671</v>
      </c>
      <c r="F24" s="637">
        <f t="shared" si="3"/>
        <v>1080208400.5994437</v>
      </c>
      <c r="G24" s="355">
        <f t="shared" si="3"/>
        <v>1323042843.009984</v>
      </c>
    </row>
    <row r="25" spans="1:7">
      <c r="A25" s="346">
        <v>17</v>
      </c>
      <c r="B25" s="350" t="s">
        <v>399</v>
      </c>
      <c r="C25" s="348"/>
      <c r="D25" s="352"/>
      <c r="E25" s="348"/>
      <c r="F25" s="348"/>
      <c r="G25" s="349"/>
    </row>
    <row r="26" spans="1:7" ht="27.6">
      <c r="A26" s="346">
        <v>18</v>
      </c>
      <c r="B26" s="350" t="s">
        <v>400</v>
      </c>
      <c r="C26" s="639">
        <v>52282753</v>
      </c>
      <c r="D26" s="617"/>
      <c r="E26" s="639"/>
      <c r="F26" s="639"/>
      <c r="G26" s="349">
        <v>7842412.9499999993</v>
      </c>
    </row>
    <row r="27" spans="1:7">
      <c r="A27" s="346">
        <v>19</v>
      </c>
      <c r="B27" s="350" t="s">
        <v>401</v>
      </c>
      <c r="C27" s="639"/>
      <c r="D27" s="617">
        <v>586227748.28662574</v>
      </c>
      <c r="E27" s="639">
        <v>225812095.41304979</v>
      </c>
      <c r="F27" s="639">
        <v>998080728.35102379</v>
      </c>
      <c r="G27" s="640">
        <v>1254388540.9482079</v>
      </c>
    </row>
    <row r="28" spans="1:7">
      <c r="A28" s="346">
        <v>20</v>
      </c>
      <c r="B28" s="361" t="s">
        <v>402</v>
      </c>
      <c r="C28" s="639"/>
      <c r="D28" s="617"/>
      <c r="E28" s="639"/>
      <c r="F28" s="639"/>
      <c r="G28" s="349"/>
    </row>
    <row r="29" spans="1:7">
      <c r="A29" s="346">
        <v>21</v>
      </c>
      <c r="B29" s="350" t="s">
        <v>403</v>
      </c>
      <c r="C29" s="639"/>
      <c r="D29" s="617">
        <v>11090788.641589459</v>
      </c>
      <c r="E29" s="639">
        <v>3372109.9790173094</v>
      </c>
      <c r="F29" s="639">
        <v>81140408.048419833</v>
      </c>
      <c r="G29" s="349">
        <v>59972714.541776277</v>
      </c>
    </row>
    <row r="30" spans="1:7">
      <c r="A30" s="346">
        <v>22</v>
      </c>
      <c r="B30" s="361" t="s">
        <v>402</v>
      </c>
      <c r="C30" s="639"/>
      <c r="D30" s="617">
        <v>11090788.641589459</v>
      </c>
      <c r="E30" s="639">
        <v>3372109.9790173094</v>
      </c>
      <c r="F30" s="639">
        <v>81140408.048419833</v>
      </c>
      <c r="G30" s="349">
        <v>59972714.541776277</v>
      </c>
    </row>
    <row r="31" spans="1:7">
      <c r="A31" s="346">
        <v>23</v>
      </c>
      <c r="B31" s="350" t="s">
        <v>404</v>
      </c>
      <c r="C31" s="639"/>
      <c r="D31" s="617"/>
      <c r="E31" s="639"/>
      <c r="F31" s="639">
        <v>987264.20000000007</v>
      </c>
      <c r="G31" s="349">
        <f>F31*0.85</f>
        <v>839174.57000000007</v>
      </c>
    </row>
    <row r="32" spans="1:7">
      <c r="A32" s="346">
        <v>24</v>
      </c>
      <c r="B32" s="347" t="s">
        <v>405</v>
      </c>
      <c r="C32" s="348"/>
      <c r="D32" s="352"/>
      <c r="E32" s="348"/>
      <c r="F32" s="348"/>
      <c r="G32" s="349"/>
    </row>
    <row r="33" spans="1:7">
      <c r="A33" s="346">
        <v>25</v>
      </c>
      <c r="B33" s="347" t="s">
        <v>406</v>
      </c>
      <c r="C33" s="699">
        <f>SUM(C34:C35)</f>
        <v>90125451.459999993</v>
      </c>
      <c r="D33" s="699">
        <f>SUM(D34:D35)</f>
        <v>17171646.525564101</v>
      </c>
      <c r="E33" s="699">
        <f>SUM(E34:E35)</f>
        <v>11302347.6762325</v>
      </c>
      <c r="F33" s="699">
        <f>SUM(F34:F35)</f>
        <v>43208471.897203952</v>
      </c>
      <c r="G33" s="349">
        <f>SUM(G34:G35)</f>
        <v>149369240.84</v>
      </c>
    </row>
    <row r="34" spans="1:7">
      <c r="A34" s="346">
        <v>26</v>
      </c>
      <c r="B34" s="350" t="s">
        <v>407</v>
      </c>
      <c r="C34" s="351"/>
      <c r="D34" s="617">
        <v>1687701.84</v>
      </c>
      <c r="E34" s="639"/>
      <c r="F34" s="639"/>
      <c r="G34" s="349">
        <f>D34</f>
        <v>1687701.84</v>
      </c>
    </row>
    <row r="35" spans="1:7">
      <c r="A35" s="346">
        <v>27</v>
      </c>
      <c r="B35" s="350" t="s">
        <v>408</v>
      </c>
      <c r="C35" s="642">
        <v>90125451.459999993</v>
      </c>
      <c r="D35" s="641">
        <v>15483944.685564101</v>
      </c>
      <c r="E35" s="642">
        <v>11302347.6762325</v>
      </c>
      <c r="F35" s="642">
        <v>43208471.897203952</v>
      </c>
      <c r="G35" s="349">
        <v>147681539</v>
      </c>
    </row>
    <row r="36" spans="1:7">
      <c r="A36" s="346">
        <v>28</v>
      </c>
      <c r="B36" s="347" t="s">
        <v>409</v>
      </c>
      <c r="C36" s="639">
        <v>29827000</v>
      </c>
      <c r="D36" s="617"/>
      <c r="E36" s="639"/>
      <c r="F36" s="639">
        <v>25943564</v>
      </c>
      <c r="G36" s="349">
        <f>SUM(C36:F36)*0.05</f>
        <v>2788528.2</v>
      </c>
    </row>
    <row r="37" spans="1:7">
      <c r="A37" s="353">
        <v>29</v>
      </c>
      <c r="B37" s="354" t="s">
        <v>410</v>
      </c>
      <c r="C37" s="351"/>
      <c r="D37" s="351"/>
      <c r="E37" s="351"/>
      <c r="F37" s="351"/>
      <c r="G37" s="355">
        <f>SUM(G23:G24,G32:G33,G36)</f>
        <v>1479507030.2746589</v>
      </c>
    </row>
    <row r="38" spans="1:7">
      <c r="A38" s="342"/>
      <c r="B38" s="362"/>
      <c r="C38" s="363"/>
      <c r="D38" s="363"/>
      <c r="E38" s="363"/>
      <c r="F38" s="363"/>
      <c r="G38" s="364"/>
    </row>
    <row r="39" spans="1:7" ht="15" thickBot="1">
      <c r="A39" s="365">
        <v>30</v>
      </c>
      <c r="B39" s="366" t="s">
        <v>411</v>
      </c>
      <c r="C39" s="232"/>
      <c r="D39" s="233"/>
      <c r="E39" s="233"/>
      <c r="F39" s="234"/>
      <c r="G39" s="367">
        <f>IFERROR(G21/G37,0)</f>
        <v>1.1714478877349945</v>
      </c>
    </row>
    <row r="42" spans="1:7" ht="41.4">
      <c r="B42" s="177" t="s">
        <v>412</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B37" sqref="B37"/>
    </sheetView>
  </sheetViews>
  <sheetFormatPr defaultColWidth="9.21875" defaultRowHeight="13.8"/>
  <cols>
    <col min="1" max="1" width="9.5546875" style="3" bestFit="1" customWidth="1"/>
    <col min="2" max="2" width="86" style="3" customWidth="1"/>
    <col min="3" max="3" width="13.6640625" style="3" bestFit="1" customWidth="1"/>
    <col min="4" max="7" width="13.6640625" style="4" bestFit="1" customWidth="1"/>
    <col min="8" max="8" width="6.77734375" style="5" customWidth="1"/>
    <col min="9" max="9" width="10.33203125" style="5" customWidth="1"/>
    <col min="10" max="12" width="13.6640625" style="5" bestFit="1" customWidth="1"/>
    <col min="13" max="13" width="6.77734375" style="5" customWidth="1"/>
    <col min="14" max="16384" width="9.21875" style="5"/>
  </cols>
  <sheetData>
    <row r="1" spans="1:12">
      <c r="A1" s="2" t="s">
        <v>30</v>
      </c>
      <c r="B1" s="3" t="str">
        <f>'Info '!C2</f>
        <v>JSC "CREDOBANK"</v>
      </c>
    </row>
    <row r="2" spans="1:12">
      <c r="A2" s="2" t="s">
        <v>31</v>
      </c>
      <c r="B2" s="330">
        <v>45291</v>
      </c>
    </row>
    <row r="3" spans="1:12" ht="14.4" thickBot="1">
      <c r="A3" s="2"/>
    </row>
    <row r="4" spans="1:12" ht="15" customHeight="1" thickBot="1">
      <c r="A4" s="6" t="s">
        <v>94</v>
      </c>
      <c r="B4" s="7" t="s">
        <v>93</v>
      </c>
      <c r="C4" s="7"/>
      <c r="D4" s="704" t="s">
        <v>703</v>
      </c>
      <c r="E4" s="705"/>
      <c r="F4" s="705"/>
      <c r="G4" s="706"/>
      <c r="I4" s="707" t="s">
        <v>704</v>
      </c>
      <c r="J4" s="708"/>
      <c r="K4" s="708"/>
      <c r="L4" s="709"/>
    </row>
    <row r="5" spans="1:12">
      <c r="A5" s="8" t="s">
        <v>6</v>
      </c>
      <c r="B5" s="9"/>
      <c r="C5" s="328" t="str">
        <f>INT((MONTH($B$2))/3)&amp;"Q"&amp;"-"&amp;YEAR($B$2)</f>
        <v>4Q-2023</v>
      </c>
      <c r="D5" s="328" t="str">
        <f>IF(INT(MONTH($B$2))=3, "4"&amp;"Q"&amp;"-"&amp;YEAR($B$2)-1, IF(INT(MONTH($B$2))=6, "1"&amp;"Q"&amp;"-"&amp;YEAR($B$2), IF(INT(MONTH($B$2))=9, "2"&amp;"Q"&amp;"-"&amp;YEAR($B$2),IF(INT(MONTH($B$2))=12, "3"&amp;"Q"&amp;"-"&amp;YEAR($B$2), 0))))</f>
        <v>3Q-2023</v>
      </c>
      <c r="E5" s="328" t="str">
        <f>IF(INT(MONTH($B$2))=3, "3"&amp;"Q"&amp;"-"&amp;YEAR($B$2)-1, IF(INT(MONTH($B$2))=6, "4"&amp;"Q"&amp;"-"&amp;YEAR($B$2)-1, IF(INT(MONTH($B$2))=9, "1"&amp;"Q"&amp;"-"&amp;YEAR($B$2),IF(INT(MONTH($B$2))=12, "2"&amp;"Q"&amp;"-"&amp;YEAR($B$2), 0))))</f>
        <v>2Q-2023</v>
      </c>
      <c r="F5" s="328" t="str">
        <f>IF(INT(MONTH($B$2))=3, "2"&amp;"Q"&amp;"-"&amp;YEAR($B$2)-1, IF(INT(MONTH($B$2))=6, "3"&amp;"Q"&amp;"-"&amp;YEAR($B$2)-1, IF(INT(MONTH($B$2))=9, "4"&amp;"Q"&amp;"-"&amp;YEAR($B$2)-1,IF(INT(MONTH($B$2))=12, "1"&amp;"Q"&amp;"-"&amp;YEAR($B$2), 0))))</f>
        <v>1Q-2023</v>
      </c>
      <c r="G5" s="329" t="str">
        <f>IF(INT(MONTH($B$2))=3, "1"&amp;"Q"&amp;"-"&amp;YEAR($B$2)-1, IF(INT(MONTH($B$2))=6, "2"&amp;"Q"&amp;"-"&amp;YEAR($B$2)-1, IF(INT(MONTH($B$2))=9, "3"&amp;"Q"&amp;"-"&amp;YEAR($B$2)-1,IF(INT(MONTH($B$2))=12, "4"&amp;"Q"&amp;"-"&amp;YEAR($B$2)-1, 0))))</f>
        <v>4Q-2022</v>
      </c>
      <c r="I5" s="542" t="str">
        <f>D5</f>
        <v>3Q-2023</v>
      </c>
      <c r="J5" s="328" t="str">
        <f t="shared" ref="J5:L5" si="0">E5</f>
        <v>2Q-2023</v>
      </c>
      <c r="K5" s="328" t="str">
        <f t="shared" si="0"/>
        <v>1Q-2023</v>
      </c>
      <c r="L5" s="329" t="str">
        <f t="shared" si="0"/>
        <v>4Q-2022</v>
      </c>
    </row>
    <row r="6" spans="1:12">
      <c r="B6" s="148" t="s">
        <v>92</v>
      </c>
      <c r="C6" s="331"/>
      <c r="D6" s="331"/>
      <c r="E6" s="331"/>
      <c r="F6" s="331"/>
      <c r="G6" s="332"/>
      <c r="I6" s="543"/>
      <c r="J6" s="331"/>
      <c r="K6" s="331"/>
      <c r="L6" s="332"/>
    </row>
    <row r="7" spans="1:12">
      <c r="A7" s="10"/>
      <c r="B7" s="149" t="s">
        <v>90</v>
      </c>
      <c r="C7" s="331"/>
      <c r="D7" s="331"/>
      <c r="E7" s="331"/>
      <c r="F7" s="331"/>
      <c r="G7" s="332"/>
      <c r="I7" s="543"/>
      <c r="J7" s="331"/>
      <c r="K7" s="331"/>
      <c r="L7" s="332"/>
    </row>
    <row r="8" spans="1:12">
      <c r="A8" s="8">
        <v>1</v>
      </c>
      <c r="B8" s="11" t="s">
        <v>364</v>
      </c>
      <c r="C8" s="12">
        <v>282252213.47002703</v>
      </c>
      <c r="D8" s="13">
        <v>273581181.16999578</v>
      </c>
      <c r="E8" s="13">
        <v>260667992.61999992</v>
      </c>
      <c r="F8" s="13">
        <v>249275771.72</v>
      </c>
      <c r="G8" s="14">
        <v>245581009.12999979</v>
      </c>
      <c r="I8" s="552"/>
      <c r="J8" s="551">
        <v>238102682.34000072</v>
      </c>
      <c r="K8" s="544">
        <v>227329233.36999953</v>
      </c>
      <c r="L8" s="545">
        <v>214666012.52000001</v>
      </c>
    </row>
    <row r="9" spans="1:12">
      <c r="A9" s="8">
        <v>2</v>
      </c>
      <c r="B9" s="11" t="s">
        <v>365</v>
      </c>
      <c r="C9" s="12">
        <v>282252213.47002703</v>
      </c>
      <c r="D9" s="13">
        <v>273581181.16999578</v>
      </c>
      <c r="E9" s="13">
        <v>260667992.61999992</v>
      </c>
      <c r="F9" s="13">
        <v>249275771.72</v>
      </c>
      <c r="G9" s="14">
        <v>245581009.12999979</v>
      </c>
      <c r="I9" s="552"/>
      <c r="J9" s="551">
        <v>238102682.34000072</v>
      </c>
      <c r="K9" s="544">
        <v>227329233.36999953</v>
      </c>
      <c r="L9" s="545">
        <v>214666012.51999971</v>
      </c>
    </row>
    <row r="10" spans="1:12">
      <c r="A10" s="8">
        <v>3</v>
      </c>
      <c r="B10" s="11" t="s">
        <v>143</v>
      </c>
      <c r="C10" s="12">
        <v>376832935.47002703</v>
      </c>
      <c r="D10" s="13">
        <v>348715297.16999578</v>
      </c>
      <c r="E10" s="13">
        <v>339370410.61999989</v>
      </c>
      <c r="F10" s="13">
        <v>326164029.72000003</v>
      </c>
      <c r="G10" s="14">
        <v>312962049.12999976</v>
      </c>
      <c r="I10" s="552"/>
      <c r="J10" s="551">
        <v>337198825.76114929</v>
      </c>
      <c r="K10" s="544">
        <v>323841615.06906784</v>
      </c>
      <c r="L10" s="545">
        <v>302188638.76197034</v>
      </c>
    </row>
    <row r="11" spans="1:12">
      <c r="A11" s="8">
        <v>4</v>
      </c>
      <c r="B11" s="11" t="s">
        <v>367</v>
      </c>
      <c r="C11" s="12">
        <v>223619344.16650155</v>
      </c>
      <c r="D11" s="13">
        <v>211366153.40843534</v>
      </c>
      <c r="E11" s="13">
        <v>206145177.04826996</v>
      </c>
      <c r="F11" s="13">
        <v>197630429.46356279</v>
      </c>
      <c r="G11" s="14">
        <v>197699126.41092411</v>
      </c>
      <c r="I11" s="552"/>
      <c r="J11" s="551">
        <v>176489743.36682165</v>
      </c>
      <c r="K11" s="544">
        <v>172140990.82947937</v>
      </c>
      <c r="L11" s="545">
        <v>168546471.01320142</v>
      </c>
    </row>
    <row r="12" spans="1:12">
      <c r="A12" s="8">
        <v>5</v>
      </c>
      <c r="B12" s="11" t="s">
        <v>368</v>
      </c>
      <c r="C12" s="12">
        <v>268498759.33575952</v>
      </c>
      <c r="D12" s="13">
        <v>253060191.63724506</v>
      </c>
      <c r="E12" s="13">
        <v>246974104.80373019</v>
      </c>
      <c r="F12" s="13">
        <v>237258757.57883739</v>
      </c>
      <c r="G12" s="14">
        <v>235965932.35859731</v>
      </c>
      <c r="I12" s="552"/>
      <c r="J12" s="551">
        <v>218714358.1203261</v>
      </c>
      <c r="K12" s="544">
        <v>213319510.62380606</v>
      </c>
      <c r="L12" s="545">
        <v>208103387.59380776</v>
      </c>
    </row>
    <row r="13" spans="1:12">
      <c r="A13" s="8">
        <v>6</v>
      </c>
      <c r="B13" s="11" t="s">
        <v>366</v>
      </c>
      <c r="C13" s="12">
        <v>328114982.32836872</v>
      </c>
      <c r="D13" s="13">
        <v>308445062.24420512</v>
      </c>
      <c r="E13" s="13">
        <v>301209566.78413063</v>
      </c>
      <c r="F13" s="13">
        <v>289894568.45340198</v>
      </c>
      <c r="G13" s="14">
        <v>297781619.25709003</v>
      </c>
      <c r="I13" s="552"/>
      <c r="J13" s="551">
        <v>274804064.26633006</v>
      </c>
      <c r="K13" s="544">
        <v>268019862.51069021</v>
      </c>
      <c r="L13" s="545">
        <v>272011178.0017516</v>
      </c>
    </row>
    <row r="14" spans="1:12">
      <c r="A14" s="10"/>
      <c r="B14" s="148" t="s">
        <v>370</v>
      </c>
      <c r="C14" s="331"/>
      <c r="D14" s="331"/>
      <c r="E14" s="331"/>
      <c r="F14" s="331"/>
      <c r="G14" s="332"/>
      <c r="I14" s="557"/>
      <c r="J14" s="331"/>
      <c r="K14" s="331"/>
      <c r="L14" s="332"/>
    </row>
    <row r="15" spans="1:12" ht="15" customHeight="1">
      <c r="A15" s="8">
        <v>7</v>
      </c>
      <c r="B15" s="11" t="s">
        <v>369</v>
      </c>
      <c r="C15" s="208">
        <v>2144983701.6647725</v>
      </c>
      <c r="D15" s="13">
        <v>1992317162.3594787</v>
      </c>
      <c r="E15" s="13">
        <v>1950116748.2201159</v>
      </c>
      <c r="F15" s="13">
        <v>1893374491.8908103</v>
      </c>
      <c r="G15" s="14">
        <v>1931098425.3504341</v>
      </c>
      <c r="I15" s="544"/>
      <c r="J15" s="544">
        <v>2017809587.2925699</v>
      </c>
      <c r="K15" s="544">
        <v>1968738198.5261486</v>
      </c>
      <c r="L15" s="545">
        <v>1997562971.9483364</v>
      </c>
    </row>
    <row r="16" spans="1:12">
      <c r="A16" s="10"/>
      <c r="B16" s="148" t="s">
        <v>371</v>
      </c>
      <c r="C16" s="331"/>
      <c r="D16" s="331"/>
      <c r="E16" s="331"/>
      <c r="F16" s="331"/>
      <c r="G16" s="332"/>
      <c r="I16" s="557"/>
      <c r="J16" s="331"/>
      <c r="K16" s="331"/>
      <c r="L16" s="332"/>
    </row>
    <row r="17" spans="1:12">
      <c r="A17" s="8"/>
      <c r="B17" s="149" t="s">
        <v>355</v>
      </c>
      <c r="C17" s="331"/>
      <c r="D17" s="331"/>
      <c r="E17" s="331"/>
      <c r="F17" s="331"/>
      <c r="G17" s="332"/>
      <c r="I17" s="552"/>
      <c r="J17" s="552"/>
      <c r="K17" s="552"/>
      <c r="L17" s="552"/>
    </row>
    <row r="18" spans="1:12">
      <c r="A18" s="8">
        <v>8</v>
      </c>
      <c r="B18" s="11" t="s">
        <v>364</v>
      </c>
      <c r="C18" s="553">
        <f>C8/$C$15</f>
        <v>0.13158711334308248</v>
      </c>
      <c r="D18" s="554">
        <v>0.13731808686825581</v>
      </c>
      <c r="E18" s="554">
        <v>0.13366789083674774</v>
      </c>
      <c r="F18" s="554">
        <v>0.13165687653849284</v>
      </c>
      <c r="G18" s="555">
        <v>0.12717166867630506</v>
      </c>
      <c r="I18" s="552"/>
      <c r="J18" s="558">
        <v>0.11800057044008747</v>
      </c>
      <c r="K18" s="558">
        <v>0.11546950912019914</v>
      </c>
      <c r="L18" s="559">
        <v>0.10746395259350637</v>
      </c>
    </row>
    <row r="19" spans="1:12" ht="15" customHeight="1">
      <c r="A19" s="8">
        <v>9</v>
      </c>
      <c r="B19" s="11" t="s">
        <v>365</v>
      </c>
      <c r="C19" s="553">
        <f t="shared" ref="C19:C20" si="1">C9/$C$15</f>
        <v>0.13158711334308248</v>
      </c>
      <c r="D19" s="554">
        <v>0.13731808686825581</v>
      </c>
      <c r="E19" s="554">
        <v>0.13366789083674774</v>
      </c>
      <c r="F19" s="554">
        <v>0.13165687653849284</v>
      </c>
      <c r="G19" s="555">
        <v>0.12717166867630506</v>
      </c>
      <c r="I19" s="552"/>
      <c r="J19" s="558">
        <v>0.11800057044008747</v>
      </c>
      <c r="K19" s="558">
        <v>0.11546950912019914</v>
      </c>
      <c r="L19" s="559">
        <v>0.10746395259350637</v>
      </c>
    </row>
    <row r="20" spans="1:12">
      <c r="A20" s="8">
        <v>10</v>
      </c>
      <c r="B20" s="11" t="s">
        <v>143</v>
      </c>
      <c r="C20" s="553">
        <f t="shared" si="1"/>
        <v>0.17568102507145303</v>
      </c>
      <c r="D20" s="554">
        <v>0.17503001216784991</v>
      </c>
      <c r="E20" s="554">
        <v>0.17402568893874967</v>
      </c>
      <c r="F20" s="554">
        <v>0.17226598917273769</v>
      </c>
      <c r="G20" s="555">
        <v>0.1620642661304055</v>
      </c>
      <c r="I20" s="552"/>
      <c r="J20" s="558">
        <v>0.16711132105066043</v>
      </c>
      <c r="K20" s="558">
        <v>0.16449196511324082</v>
      </c>
      <c r="L20" s="559">
        <v>0.15127865454335521</v>
      </c>
    </row>
    <row r="21" spans="1:12">
      <c r="A21" s="8">
        <v>11</v>
      </c>
      <c r="B21" s="11" t="s">
        <v>367</v>
      </c>
      <c r="C21" s="556">
        <v>0.10427227140458992</v>
      </c>
      <c r="D21" s="554">
        <v>0.10609061518793181</v>
      </c>
      <c r="E21" s="554">
        <v>0.10570914650952051</v>
      </c>
      <c r="F21" s="554">
        <v>0.10438</v>
      </c>
      <c r="G21" s="555">
        <v>0.10237651474188732</v>
      </c>
      <c r="I21" s="552"/>
      <c r="J21" s="558">
        <v>8.7466004958193178E-2</v>
      </c>
      <c r="K21" s="558">
        <v>8.7437217888264085E-2</v>
      </c>
      <c r="L21" s="559">
        <v>8.4376048905636492E-2</v>
      </c>
    </row>
    <row r="22" spans="1:12">
      <c r="A22" s="8">
        <v>12</v>
      </c>
      <c r="B22" s="11" t="s">
        <v>368</v>
      </c>
      <c r="C22" s="556">
        <v>0.12519925594812636</v>
      </c>
      <c r="D22" s="554">
        <v>0.12701802524878519</v>
      </c>
      <c r="E22" s="554">
        <v>0.12664580468279402</v>
      </c>
      <c r="F22" s="554">
        <v>0.12530999999999998</v>
      </c>
      <c r="G22" s="555">
        <v>0.12219259736373969</v>
      </c>
      <c r="I22" s="552"/>
      <c r="J22" s="558">
        <v>0.10839197092615155</v>
      </c>
      <c r="K22" s="558">
        <v>0.10835341681463939</v>
      </c>
      <c r="L22" s="559">
        <v>0.1041786369271917</v>
      </c>
    </row>
    <row r="23" spans="1:12">
      <c r="A23" s="8">
        <v>13</v>
      </c>
      <c r="B23" s="11" t="s">
        <v>366</v>
      </c>
      <c r="C23" s="556">
        <v>0.1529979198212007</v>
      </c>
      <c r="D23" s="554">
        <v>0.15481724901306598</v>
      </c>
      <c r="E23" s="554">
        <v>0.15445719701604868</v>
      </c>
      <c r="F23" s="554">
        <v>0.15311000000000002</v>
      </c>
      <c r="G23" s="555">
        <v>0.15420323239249287</v>
      </c>
      <c r="I23" s="552"/>
      <c r="J23" s="558">
        <v>0.13618929456820209</v>
      </c>
      <c r="K23" s="558">
        <v>0.13613788908618588</v>
      </c>
      <c r="L23" s="559">
        <v>0.13617151590292229</v>
      </c>
    </row>
    <row r="24" spans="1:12">
      <c r="A24" s="10"/>
      <c r="B24" s="148" t="s">
        <v>89</v>
      </c>
      <c r="C24" s="331"/>
      <c r="D24" s="331"/>
      <c r="E24" s="331"/>
      <c r="F24" s="331"/>
      <c r="G24" s="332"/>
      <c r="I24" s="557"/>
      <c r="J24" s="331"/>
      <c r="K24" s="331"/>
      <c r="L24" s="332"/>
    </row>
    <row r="25" spans="1:12" ht="15" customHeight="1">
      <c r="A25" s="333">
        <v>14</v>
      </c>
      <c r="B25" s="11" t="s">
        <v>88</v>
      </c>
      <c r="C25" s="560">
        <v>0.19844300818259863</v>
      </c>
      <c r="D25" s="561">
        <v>0.20165843052568264</v>
      </c>
      <c r="E25" s="561">
        <v>0.19999527941386908</v>
      </c>
      <c r="F25" s="561">
        <v>0.19869999999999999</v>
      </c>
      <c r="G25" s="562">
        <v>0.217</v>
      </c>
      <c r="I25" s="552"/>
      <c r="J25" s="563">
        <v>0.16472293116836484</v>
      </c>
      <c r="K25" s="563">
        <v>0.16516382001352556</v>
      </c>
      <c r="L25" s="564">
        <v>0.17369436084755779</v>
      </c>
    </row>
    <row r="26" spans="1:12">
      <c r="A26" s="333">
        <v>15</v>
      </c>
      <c r="B26" s="11" t="s">
        <v>87</v>
      </c>
      <c r="C26" s="560">
        <v>8.8097851768275032E-2</v>
      </c>
      <c r="D26" s="561">
        <v>8.8709309573833328E-2</v>
      </c>
      <c r="E26" s="561">
        <v>8.9230553744010108E-2</v>
      </c>
      <c r="F26" s="561">
        <v>8.9499999999999996E-2</v>
      </c>
      <c r="G26" s="562">
        <v>9.6799999999999997E-2</v>
      </c>
      <c r="I26" s="552"/>
      <c r="J26" s="563">
        <v>8.698686307012729E-2</v>
      </c>
      <c r="K26" s="563">
        <v>8.7022423581187697E-2</v>
      </c>
      <c r="L26" s="564">
        <v>9.3747599787266697E-2</v>
      </c>
    </row>
    <row r="27" spans="1:12">
      <c r="A27" s="333">
        <v>16</v>
      </c>
      <c r="B27" s="11" t="s">
        <v>86</v>
      </c>
      <c r="C27" s="560">
        <v>5.3579218956215487E-2</v>
      </c>
      <c r="D27" s="561">
        <v>4.8751558674860834E-2</v>
      </c>
      <c r="E27" s="561">
        <v>4.535246578869833E-2</v>
      </c>
      <c r="F27" s="561">
        <v>4.3799999999999999E-2</v>
      </c>
      <c r="G27" s="562">
        <v>5.7200000000000001E-2</v>
      </c>
      <c r="I27" s="552"/>
      <c r="J27" s="563">
        <v>3.2228817310131372E-2</v>
      </c>
      <c r="K27" s="563">
        <v>4.0038876592750676E-2</v>
      </c>
      <c r="L27" s="564">
        <v>3.6082132132482826E-2</v>
      </c>
    </row>
    <row r="28" spans="1:12">
      <c r="A28" s="333">
        <v>17</v>
      </c>
      <c r="B28" s="11" t="s">
        <v>85</v>
      </c>
      <c r="C28" s="560">
        <v>0.1103451564143236</v>
      </c>
      <c r="D28" s="561">
        <v>0.11294912095184928</v>
      </c>
      <c r="E28" s="561">
        <v>0.11076472566985895</v>
      </c>
      <c r="F28" s="561">
        <v>0.10919999999999999</v>
      </c>
      <c r="G28" s="562">
        <v>0.1202</v>
      </c>
      <c r="I28" s="552"/>
      <c r="J28" s="563">
        <v>7.7736068098237535E-2</v>
      </c>
      <c r="K28" s="563">
        <v>7.8141396432337862E-2</v>
      </c>
      <c r="L28" s="564">
        <v>7.9946761060291097E-2</v>
      </c>
    </row>
    <row r="29" spans="1:12">
      <c r="A29" s="333">
        <v>18</v>
      </c>
      <c r="B29" s="11" t="s">
        <v>167</v>
      </c>
      <c r="C29" s="560">
        <v>1.71543416866742E-2</v>
      </c>
      <c r="D29" s="561">
        <v>1.5755517094875125E-2</v>
      </c>
      <c r="E29" s="561">
        <v>1.2539140240782745E-2</v>
      </c>
      <c r="F29" s="561">
        <v>9.1999999999999998E-3</v>
      </c>
      <c r="G29" s="562">
        <v>2.47E-2</v>
      </c>
      <c r="I29" s="552"/>
      <c r="J29" s="563">
        <v>2.1427121222337031E-2</v>
      </c>
      <c r="K29" s="563">
        <v>2.7364499316997783E-2</v>
      </c>
      <c r="L29" s="564">
        <v>1.7382715990512006E-2</v>
      </c>
    </row>
    <row r="30" spans="1:12">
      <c r="A30" s="333">
        <v>19</v>
      </c>
      <c r="B30" s="11" t="s">
        <v>168</v>
      </c>
      <c r="C30" s="560">
        <v>0.13904267442844001</v>
      </c>
      <c r="D30" s="561">
        <v>0.12818915166632455</v>
      </c>
      <c r="E30" s="561">
        <v>0.10215598934812109</v>
      </c>
      <c r="F30" s="561">
        <v>7.4800000000000005E-2</v>
      </c>
      <c r="G30" s="562">
        <v>0.19750000000000001</v>
      </c>
      <c r="I30" s="552"/>
      <c r="J30" s="563">
        <v>0.19558561384584894</v>
      </c>
      <c r="K30" s="563">
        <v>0.25243818124239986</v>
      </c>
      <c r="L30" s="564">
        <v>0.15770000000000001</v>
      </c>
    </row>
    <row r="31" spans="1:12">
      <c r="A31" s="10"/>
      <c r="B31" s="148" t="s">
        <v>230</v>
      </c>
      <c r="C31" s="331"/>
      <c r="D31" s="331"/>
      <c r="E31" s="331"/>
      <c r="F31" s="331"/>
      <c r="G31" s="332"/>
      <c r="I31" s="557"/>
      <c r="J31" s="331"/>
      <c r="K31" s="331"/>
      <c r="L31" s="332"/>
    </row>
    <row r="32" spans="1:12">
      <c r="A32" s="333">
        <v>20</v>
      </c>
      <c r="B32" s="11" t="s">
        <v>84</v>
      </c>
      <c r="C32" s="560">
        <v>9.7530832598432034E-3</v>
      </c>
      <c r="D32" s="561">
        <v>7.4144834285758739E-3</v>
      </c>
      <c r="E32" s="561">
        <v>7.7999999999999996E-3</v>
      </c>
      <c r="F32" s="561">
        <v>8.5000000000000006E-3</v>
      </c>
      <c r="G32" s="562">
        <v>9.78610893620167E-3</v>
      </c>
      <c r="I32" s="552"/>
      <c r="J32" s="563">
        <v>1.9863989380456613E-2</v>
      </c>
      <c r="K32" s="563">
        <v>1.9599999999999999E-2</v>
      </c>
      <c r="L32" s="564">
        <v>2.3871096451951922E-2</v>
      </c>
    </row>
    <row r="33" spans="1:12" ht="15" customHeight="1">
      <c r="A33" s="333">
        <v>21</v>
      </c>
      <c r="B33" s="11" t="s">
        <v>83</v>
      </c>
      <c r="C33" s="560">
        <v>2.1495102154491498E-2</v>
      </c>
      <c r="D33" s="561">
        <v>2.1419550833918735E-2</v>
      </c>
      <c r="E33" s="561">
        <v>2.1999999999999999E-2</v>
      </c>
      <c r="F33" s="561">
        <v>2.41E-2</v>
      </c>
      <c r="G33" s="562">
        <v>2.0500000000000001E-2</v>
      </c>
      <c r="I33" s="552"/>
      <c r="J33" s="563">
        <v>3.0701935911251893E-2</v>
      </c>
      <c r="K33" s="563">
        <v>3.2106452602982609E-2</v>
      </c>
      <c r="L33" s="564">
        <v>3.3211170692005902E-2</v>
      </c>
    </row>
    <row r="34" spans="1:12">
      <c r="A34" s="333">
        <v>22</v>
      </c>
      <c r="B34" s="11" t="s">
        <v>82</v>
      </c>
      <c r="C34" s="560">
        <v>0.10338967450284264</v>
      </c>
      <c r="D34" s="561">
        <v>0.10351869435446093</v>
      </c>
      <c r="E34" s="561">
        <v>0.1048</v>
      </c>
      <c r="F34" s="561">
        <v>0.1047</v>
      </c>
      <c r="G34" s="562">
        <v>0.10639999999999999</v>
      </c>
      <c r="I34" s="552"/>
      <c r="J34" s="563">
        <v>0.10448446454123435</v>
      </c>
      <c r="K34" s="563">
        <v>0.10440000000000001</v>
      </c>
      <c r="L34" s="564">
        <v>0.10606337289064827</v>
      </c>
    </row>
    <row r="35" spans="1:12" ht="15" customHeight="1">
      <c r="A35" s="333">
        <v>23</v>
      </c>
      <c r="B35" s="11" t="s">
        <v>81</v>
      </c>
      <c r="C35" s="560">
        <v>0.15449997552386294</v>
      </c>
      <c r="D35" s="561">
        <v>0.16217350737877462</v>
      </c>
      <c r="E35" s="561">
        <v>0.15959999999999999</v>
      </c>
      <c r="F35" s="561">
        <v>0.1651</v>
      </c>
      <c r="G35" s="562">
        <v>0.16889999999999999</v>
      </c>
      <c r="I35" s="552"/>
      <c r="J35" s="563">
        <v>0.15763967398674023</v>
      </c>
      <c r="K35" s="563">
        <v>0.16300000000000001</v>
      </c>
      <c r="L35" s="564">
        <v>0.16718068949181306</v>
      </c>
    </row>
    <row r="36" spans="1:12">
      <c r="A36" s="333">
        <v>24</v>
      </c>
      <c r="B36" s="11" t="s">
        <v>80</v>
      </c>
      <c r="C36" s="560">
        <v>0.12972628367582595</v>
      </c>
      <c r="D36" s="561">
        <v>6.9868414348527752E-2</v>
      </c>
      <c r="E36" s="561">
        <v>1.47E-2</v>
      </c>
      <c r="F36" s="561">
        <v>9.7000000000000003E-3</v>
      </c>
      <c r="G36" s="562">
        <v>0.25</v>
      </c>
      <c r="I36" s="552"/>
      <c r="J36" s="563">
        <v>4.3132208158023211E-2</v>
      </c>
      <c r="K36" s="563">
        <v>5.2700000000000004E-3</v>
      </c>
      <c r="L36" s="564">
        <v>0.20085356712840197</v>
      </c>
    </row>
    <row r="37" spans="1:12" ht="15" customHeight="1">
      <c r="A37" s="10"/>
      <c r="B37" s="148" t="s">
        <v>231</v>
      </c>
      <c r="C37" s="331"/>
      <c r="D37" s="331"/>
      <c r="E37" s="331"/>
      <c r="F37" s="331"/>
      <c r="G37" s="332"/>
      <c r="I37" s="557"/>
      <c r="J37" s="331"/>
      <c r="K37" s="331"/>
      <c r="L37" s="332"/>
    </row>
    <row r="38" spans="1:12" ht="15" customHeight="1">
      <c r="A38" s="333">
        <v>25</v>
      </c>
      <c r="B38" s="11" t="s">
        <v>79</v>
      </c>
      <c r="C38" s="700">
        <v>0.1157894550541905</v>
      </c>
      <c r="D38" s="565">
        <v>0.13885243177897869</v>
      </c>
      <c r="E38" s="565">
        <v>0.1237</v>
      </c>
      <c r="F38" s="565">
        <v>0.15390000000000001</v>
      </c>
      <c r="G38" s="566">
        <v>0.1338</v>
      </c>
      <c r="I38" s="552"/>
      <c r="J38" s="567">
        <v>0.13306139921560961</v>
      </c>
      <c r="K38" s="567">
        <v>0.13250000000000001</v>
      </c>
      <c r="L38" s="568">
        <v>0.13224218771062179</v>
      </c>
    </row>
    <row r="39" spans="1:12" ht="15" customHeight="1">
      <c r="A39" s="333">
        <v>26</v>
      </c>
      <c r="B39" s="11" t="s">
        <v>78</v>
      </c>
      <c r="C39" s="700">
        <v>0.28190597541225704</v>
      </c>
      <c r="D39" s="565">
        <v>0.27619886094964935</v>
      </c>
      <c r="E39" s="565">
        <v>0.27900000000000003</v>
      </c>
      <c r="F39" s="565">
        <v>0.27389999999999998</v>
      </c>
      <c r="G39" s="566">
        <v>0.28139999999999998</v>
      </c>
      <c r="I39" s="552"/>
      <c r="J39" s="567">
        <v>0.27400709540261015</v>
      </c>
      <c r="K39" s="567">
        <v>0.26879999999999998</v>
      </c>
      <c r="L39" s="568">
        <v>0.27629870187215017</v>
      </c>
    </row>
    <row r="40" spans="1:12" ht="15" customHeight="1">
      <c r="A40" s="333">
        <v>27</v>
      </c>
      <c r="B40" s="11" t="s">
        <v>77</v>
      </c>
      <c r="C40" s="700">
        <v>0.13196480147465034</v>
      </c>
      <c r="D40" s="565">
        <v>0.11626490808823245</v>
      </c>
      <c r="E40" s="565">
        <v>0.1143</v>
      </c>
      <c r="F40" s="565">
        <v>9.5200000000000007E-2</v>
      </c>
      <c r="G40" s="566">
        <v>0.10299999999999999</v>
      </c>
      <c r="I40" s="552"/>
      <c r="J40" s="567">
        <v>0.11290332193742683</v>
      </c>
      <c r="K40" s="567">
        <v>9.3948753316354827E-2</v>
      </c>
      <c r="L40" s="568">
        <v>0.10219181016612465</v>
      </c>
    </row>
    <row r="41" spans="1:12" ht="15" customHeight="1">
      <c r="A41" s="334"/>
      <c r="B41" s="148" t="s">
        <v>272</v>
      </c>
      <c r="C41" s="331"/>
      <c r="D41" s="331"/>
      <c r="E41" s="331"/>
      <c r="F41" s="331"/>
      <c r="G41" s="332"/>
      <c r="I41" s="552"/>
      <c r="J41" s="331"/>
      <c r="K41" s="331"/>
      <c r="L41" s="332"/>
    </row>
    <row r="42" spans="1:12">
      <c r="A42" s="333">
        <v>28</v>
      </c>
      <c r="B42" s="11" t="s">
        <v>255</v>
      </c>
      <c r="C42" s="15">
        <v>310366256.82059133</v>
      </c>
      <c r="D42" s="16">
        <v>297388065.41654223</v>
      </c>
      <c r="E42" s="16">
        <v>250231994.76926982</v>
      </c>
      <c r="F42" s="16">
        <v>286397601.06285328</v>
      </c>
      <c r="G42" s="17">
        <v>304823527.32999998</v>
      </c>
      <c r="I42" s="552"/>
      <c r="J42" s="546">
        <v>273697131.07999998</v>
      </c>
      <c r="K42" s="546">
        <v>250231994.76926982</v>
      </c>
      <c r="L42" s="547">
        <v>253102321.96526882</v>
      </c>
    </row>
    <row r="43" spans="1:12" ht="15" customHeight="1">
      <c r="A43" s="333">
        <v>29</v>
      </c>
      <c r="B43" s="11" t="s">
        <v>267</v>
      </c>
      <c r="C43" s="15">
        <v>190296632.22046226</v>
      </c>
      <c r="D43" s="16">
        <v>146641907.00037274</v>
      </c>
      <c r="E43" s="16">
        <v>134230427.80348599</v>
      </c>
      <c r="F43" s="16">
        <v>155335520.8722477</v>
      </c>
      <c r="G43" s="17">
        <v>132521210.6609405</v>
      </c>
      <c r="I43" s="552"/>
      <c r="J43" s="546">
        <v>144543917.90864196</v>
      </c>
      <c r="K43" s="546">
        <v>135321272.21771568</v>
      </c>
      <c r="L43" s="547">
        <v>119163803.34261332</v>
      </c>
    </row>
    <row r="44" spans="1:12" ht="15" customHeight="1">
      <c r="A44" s="368">
        <v>30</v>
      </c>
      <c r="B44" s="369" t="s">
        <v>256</v>
      </c>
      <c r="C44" s="569">
        <v>1.6309603233599328</v>
      </c>
      <c r="D44" s="570">
        <v>2.0279882572434516</v>
      </c>
      <c r="E44" s="570">
        <v>1.8641972529180246</v>
      </c>
      <c r="F44" s="570">
        <v>1.8437354151494734</v>
      </c>
      <c r="G44" s="571">
        <v>2.3001867082990977</v>
      </c>
      <c r="I44" s="552"/>
      <c r="J44" s="572">
        <v>1.893522294400436</v>
      </c>
      <c r="K44" s="572">
        <v>1.8491696883153492</v>
      </c>
      <c r="L44" s="571">
        <v>2.1239866038646209</v>
      </c>
    </row>
    <row r="45" spans="1:12" ht="15" customHeight="1">
      <c r="A45" s="368"/>
      <c r="B45" s="148" t="s">
        <v>374</v>
      </c>
      <c r="C45" s="573"/>
      <c r="D45" s="574"/>
      <c r="E45" s="574"/>
      <c r="F45" s="574"/>
      <c r="G45" s="575"/>
      <c r="I45" s="552"/>
      <c r="J45" s="573"/>
      <c r="K45" s="574"/>
      <c r="L45" s="575"/>
    </row>
    <row r="46" spans="1:12" ht="15" customHeight="1">
      <c r="A46" s="368">
        <v>31</v>
      </c>
      <c r="B46" s="369" t="s">
        <v>381</v>
      </c>
      <c r="C46" s="370">
        <v>1733165385.5043237</v>
      </c>
      <c r="D46" s="371">
        <v>1683962194.49</v>
      </c>
      <c r="E46" s="371">
        <v>1699059876.4952438</v>
      </c>
      <c r="F46" s="371">
        <v>1727302081.0853016</v>
      </c>
      <c r="G46" s="372">
        <v>1662866748.7295167</v>
      </c>
      <c r="I46" s="552"/>
      <c r="J46" s="548">
        <v>1670552616.4387963</v>
      </c>
      <c r="K46" s="548">
        <v>1708303840.8290756</v>
      </c>
      <c r="L46" s="372">
        <v>1636746781.3146591</v>
      </c>
    </row>
    <row r="47" spans="1:12" ht="15" customHeight="1">
      <c r="A47" s="368">
        <v>32</v>
      </c>
      <c r="B47" s="369" t="s">
        <v>396</v>
      </c>
      <c r="C47" s="370">
        <v>1479507030.2746589</v>
      </c>
      <c r="D47" s="371">
        <v>1367414778.53</v>
      </c>
      <c r="E47" s="371">
        <v>1360891625.4603355</v>
      </c>
      <c r="F47" s="371">
        <v>1301909354.2163918</v>
      </c>
      <c r="G47" s="372">
        <v>1309431695.3216999</v>
      </c>
      <c r="I47" s="552"/>
      <c r="J47" s="548">
        <v>1371227000.0091734</v>
      </c>
      <c r="K47" s="548">
        <v>1307961758.9002852</v>
      </c>
      <c r="L47" s="372">
        <v>1302558651.2794161</v>
      </c>
    </row>
    <row r="48" spans="1:12" ht="14.4" thickBot="1">
      <c r="A48" s="335">
        <v>33</v>
      </c>
      <c r="B48" s="150" t="s">
        <v>414</v>
      </c>
      <c r="C48" s="576">
        <v>1.1714478877349945</v>
      </c>
      <c r="D48" s="577">
        <v>1.231493341</v>
      </c>
      <c r="E48" s="577">
        <v>1.248490213848233</v>
      </c>
      <c r="F48" s="577">
        <v>1.3267452726191911</v>
      </c>
      <c r="G48" s="578">
        <v>1.269914845249706</v>
      </c>
      <c r="I48" s="552"/>
      <c r="J48" s="577">
        <v>1.2182903461116361</v>
      </c>
      <c r="K48" s="577">
        <v>1.3060808767569718</v>
      </c>
      <c r="L48" s="578">
        <v>1.2565628270995648</v>
      </c>
    </row>
    <row r="49" spans="1:2">
      <c r="A49" s="18"/>
    </row>
    <row r="50" spans="1:2" ht="39.6">
      <c r="B50" s="210" t="s">
        <v>711</v>
      </c>
    </row>
    <row r="51" spans="1:2" ht="52.8">
      <c r="B51" s="210" t="s">
        <v>271</v>
      </c>
    </row>
    <row r="53" spans="1:2" ht="14.4">
      <c r="B53" s="209"/>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D21" sqref="D21"/>
    </sheetView>
  </sheetViews>
  <sheetFormatPr defaultColWidth="9.21875" defaultRowHeight="12"/>
  <cols>
    <col min="1" max="1" width="11.77734375" style="375" bestFit="1" customWidth="1"/>
    <col min="2" max="2" width="52.33203125" style="375" customWidth="1"/>
    <col min="3" max="3" width="17.6640625" style="375" customWidth="1"/>
    <col min="4" max="4" width="17" style="375" customWidth="1"/>
    <col min="5" max="5" width="17.33203125" style="375" bestFit="1" customWidth="1"/>
    <col min="6" max="6" width="15.88671875" style="375" customWidth="1"/>
    <col min="7" max="7" width="24.109375" style="375" customWidth="1"/>
    <col min="8" max="8" width="14.77734375" style="375" customWidth="1"/>
    <col min="9" max="16384" width="9.21875" style="375"/>
  </cols>
  <sheetData>
    <row r="1" spans="1:8" ht="13.8">
      <c r="A1" s="373" t="s">
        <v>30</v>
      </c>
      <c r="B1" s="459" t="str">
        <f>'Info '!C2</f>
        <v>JSC "CREDOBANK"</v>
      </c>
    </row>
    <row r="2" spans="1:8">
      <c r="A2" s="373" t="s">
        <v>31</v>
      </c>
      <c r="B2" s="458">
        <f>'1. key ratios '!B2</f>
        <v>45291</v>
      </c>
    </row>
    <row r="3" spans="1:8">
      <c r="A3" s="374" t="s">
        <v>417</v>
      </c>
    </row>
    <row r="5" spans="1:8" ht="12" customHeight="1">
      <c r="A5" s="768" t="s">
        <v>418</v>
      </c>
      <c r="B5" s="769"/>
      <c r="C5" s="774" t="s">
        <v>419</v>
      </c>
      <c r="D5" s="775"/>
      <c r="E5" s="775"/>
      <c r="F5" s="775"/>
      <c r="G5" s="775"/>
      <c r="H5" s="776"/>
    </row>
    <row r="6" spans="1:8">
      <c r="A6" s="770"/>
      <c r="B6" s="771"/>
      <c r="C6" s="777"/>
      <c r="D6" s="778"/>
      <c r="E6" s="778"/>
      <c r="F6" s="778"/>
      <c r="G6" s="778"/>
      <c r="H6" s="779"/>
    </row>
    <row r="7" spans="1:8">
      <c r="A7" s="772"/>
      <c r="B7" s="773"/>
      <c r="C7" s="457" t="s">
        <v>420</v>
      </c>
      <c r="D7" s="457" t="s">
        <v>421</v>
      </c>
      <c r="E7" s="457" t="s">
        <v>422</v>
      </c>
      <c r="F7" s="457" t="s">
        <v>423</v>
      </c>
      <c r="G7" s="457" t="s">
        <v>424</v>
      </c>
      <c r="H7" s="457" t="s">
        <v>64</v>
      </c>
    </row>
    <row r="8" spans="1:8">
      <c r="A8" s="453">
        <v>1</v>
      </c>
      <c r="B8" s="452" t="s">
        <v>51</v>
      </c>
      <c r="C8" s="643">
        <v>64016710</v>
      </c>
      <c r="D8" s="643">
        <v>3006908</v>
      </c>
      <c r="E8" s="643">
        <v>19745284</v>
      </c>
      <c r="F8" s="643"/>
      <c r="G8" s="643">
        <v>83216688</v>
      </c>
      <c r="H8" s="643">
        <f t="shared" ref="H8:H21" si="0">SUM(C8:G8)</f>
        <v>169985590</v>
      </c>
    </row>
    <row r="9" spans="1:8">
      <c r="A9" s="453">
        <v>2</v>
      </c>
      <c r="B9" s="452" t="s">
        <v>52</v>
      </c>
      <c r="C9" s="643"/>
      <c r="D9" s="643"/>
      <c r="E9" s="643"/>
      <c r="F9" s="643"/>
      <c r="G9" s="643"/>
      <c r="H9" s="643">
        <f t="shared" si="0"/>
        <v>0</v>
      </c>
    </row>
    <row r="10" spans="1:8">
      <c r="A10" s="453">
        <v>3</v>
      </c>
      <c r="B10" s="452" t="s">
        <v>165</v>
      </c>
      <c r="C10" s="643"/>
      <c r="D10" s="643">
        <v>26136325.489999998</v>
      </c>
      <c r="E10" s="643"/>
      <c r="F10" s="643"/>
      <c r="G10" s="643"/>
      <c r="H10" s="643">
        <f t="shared" si="0"/>
        <v>26136325.489999998</v>
      </c>
    </row>
    <row r="11" spans="1:8">
      <c r="A11" s="453">
        <v>4</v>
      </c>
      <c r="B11" s="452" t="s">
        <v>53</v>
      </c>
      <c r="C11" s="643"/>
      <c r="D11" s="643"/>
      <c r="E11" s="643"/>
      <c r="F11" s="643"/>
      <c r="G11" s="643"/>
      <c r="H11" s="643">
        <f t="shared" si="0"/>
        <v>0</v>
      </c>
    </row>
    <row r="12" spans="1:8">
      <c r="A12" s="453">
        <v>5</v>
      </c>
      <c r="B12" s="452" t="s">
        <v>54</v>
      </c>
      <c r="C12" s="643"/>
      <c r="D12" s="643"/>
      <c r="E12" s="643"/>
      <c r="F12" s="643"/>
      <c r="G12" s="643"/>
      <c r="H12" s="643">
        <f t="shared" si="0"/>
        <v>0</v>
      </c>
    </row>
    <row r="13" spans="1:8">
      <c r="A13" s="453">
        <v>6</v>
      </c>
      <c r="B13" s="452" t="s">
        <v>55</v>
      </c>
      <c r="C13" s="643">
        <v>82543825.430000007</v>
      </c>
      <c r="D13" s="643"/>
      <c r="E13" s="643"/>
      <c r="F13" s="643"/>
      <c r="G13" s="643"/>
      <c r="H13" s="643">
        <f t="shared" si="0"/>
        <v>82543825.430000007</v>
      </c>
    </row>
    <row r="14" spans="1:8">
      <c r="A14" s="453">
        <v>7</v>
      </c>
      <c r="B14" s="452" t="s">
        <v>56</v>
      </c>
      <c r="C14" s="644"/>
      <c r="D14" s="644">
        <v>1976555.8419999997</v>
      </c>
      <c r="E14" s="644">
        <v>4054909.8</v>
      </c>
      <c r="F14" s="644">
        <v>18905552.824000005</v>
      </c>
      <c r="G14" s="644"/>
      <c r="H14" s="643">
        <f t="shared" si="0"/>
        <v>24937018.466000006</v>
      </c>
    </row>
    <row r="15" spans="1:8">
      <c r="A15" s="453">
        <v>8</v>
      </c>
      <c r="B15" s="454" t="s">
        <v>57</v>
      </c>
      <c r="C15" s="644">
        <v>14171374.829999989</v>
      </c>
      <c r="D15" s="644">
        <v>316930353.87080199</v>
      </c>
      <c r="E15" s="644">
        <v>1187874859.4064319</v>
      </c>
      <c r="F15" s="644">
        <v>335549624.33856905</v>
      </c>
      <c r="G15" s="644">
        <v>635765.59000000078</v>
      </c>
      <c r="H15" s="643">
        <f t="shared" si="0"/>
        <v>1855161978.0358031</v>
      </c>
    </row>
    <row r="16" spans="1:8">
      <c r="A16" s="453">
        <v>9</v>
      </c>
      <c r="B16" s="452" t="s">
        <v>58</v>
      </c>
      <c r="C16" s="644">
        <v>256718</v>
      </c>
      <c r="D16" s="644">
        <v>2772817.2171815815</v>
      </c>
      <c r="E16" s="644">
        <v>30226703.523557127</v>
      </c>
      <c r="F16" s="644">
        <v>68215745.907431394</v>
      </c>
      <c r="G16" s="644"/>
      <c r="H16" s="643">
        <f t="shared" si="0"/>
        <v>101471984.6481701</v>
      </c>
    </row>
    <row r="17" spans="1:8">
      <c r="A17" s="453">
        <v>10</v>
      </c>
      <c r="B17" s="456" t="s">
        <v>432</v>
      </c>
      <c r="C17" s="644">
        <v>2496482.83</v>
      </c>
      <c r="D17" s="644">
        <v>168298.57000000012</v>
      </c>
      <c r="E17" s="644">
        <v>570532.87000000011</v>
      </c>
      <c r="F17" s="644">
        <v>509791.93000000028</v>
      </c>
      <c r="G17" s="644">
        <v>192320.77000000051</v>
      </c>
      <c r="H17" s="643">
        <f t="shared" si="0"/>
        <v>3937426.9700000011</v>
      </c>
    </row>
    <row r="18" spans="1:8">
      <c r="A18" s="453">
        <v>11</v>
      </c>
      <c r="B18" s="452" t="s">
        <v>60</v>
      </c>
      <c r="C18" s="644"/>
      <c r="D18" s="644"/>
      <c r="E18" s="644"/>
      <c r="F18" s="644"/>
      <c r="G18" s="644"/>
      <c r="H18" s="643">
        <f t="shared" si="0"/>
        <v>0</v>
      </c>
    </row>
    <row r="19" spans="1:8">
      <c r="A19" s="453">
        <v>12</v>
      </c>
      <c r="B19" s="452" t="s">
        <v>61</v>
      </c>
      <c r="C19" s="643"/>
      <c r="D19" s="643"/>
      <c r="E19" s="643"/>
      <c r="F19" s="643"/>
      <c r="G19" s="643"/>
      <c r="H19" s="643">
        <f t="shared" si="0"/>
        <v>0</v>
      </c>
    </row>
    <row r="20" spans="1:8">
      <c r="A20" s="455">
        <v>13</v>
      </c>
      <c r="B20" s="454" t="s">
        <v>145</v>
      </c>
      <c r="C20" s="643"/>
      <c r="D20" s="643"/>
      <c r="E20" s="643"/>
      <c r="F20" s="643"/>
      <c r="G20" s="643"/>
      <c r="H20" s="643">
        <f t="shared" si="0"/>
        <v>0</v>
      </c>
    </row>
    <row r="21" spans="1:8">
      <c r="A21" s="453">
        <v>14</v>
      </c>
      <c r="B21" s="452" t="s">
        <v>63</v>
      </c>
      <c r="C21" s="644">
        <v>91228953.689999998</v>
      </c>
      <c r="D21" s="644">
        <v>32698625</v>
      </c>
      <c r="E21" s="644">
        <v>15321222</v>
      </c>
      <c r="F21" s="644"/>
      <c r="G21" s="644">
        <v>45907008.240000017</v>
      </c>
      <c r="H21" s="643">
        <f t="shared" si="0"/>
        <v>185155808.93000001</v>
      </c>
    </row>
    <row r="22" spans="1:8">
      <c r="A22" s="451">
        <v>15</v>
      </c>
      <c r="B22" s="450" t="s">
        <v>64</v>
      </c>
      <c r="C22" s="643">
        <f t="shared" ref="C22:H22" si="1">SUM(C18:C21)+SUM(C8:C16)</f>
        <v>252217581.94999999</v>
      </c>
      <c r="D22" s="643">
        <f t="shared" si="1"/>
        <v>383521585.41998357</v>
      </c>
      <c r="E22" s="643">
        <f t="shared" si="1"/>
        <v>1257222978.7299891</v>
      </c>
      <c r="F22" s="643">
        <f t="shared" si="1"/>
        <v>422670923.07000041</v>
      </c>
      <c r="G22" s="643">
        <f t="shared" si="1"/>
        <v>129759461.83000001</v>
      </c>
      <c r="H22" s="643">
        <f t="shared" si="1"/>
        <v>2445392530.9999728</v>
      </c>
    </row>
    <row r="26" spans="1:8" ht="48">
      <c r="B26" s="378" t="s">
        <v>519</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topLeftCell="B1" zoomScaleNormal="100" workbookViewId="0">
      <selection activeCell="D20" sqref="D20"/>
    </sheetView>
  </sheetViews>
  <sheetFormatPr defaultColWidth="9.21875" defaultRowHeight="12"/>
  <cols>
    <col min="1" max="1" width="11.77734375" style="460" bestFit="1" customWidth="1"/>
    <col min="2" max="2" width="72.21875" style="375" customWidth="1"/>
    <col min="3" max="3" width="23.21875" style="375" customWidth="1"/>
    <col min="4" max="4" width="22.6640625" style="375" customWidth="1"/>
    <col min="5" max="5" width="14.77734375" style="375" customWidth="1"/>
    <col min="6" max="6" width="15.109375" style="375" customWidth="1"/>
    <col min="7" max="7" width="19.88671875" style="375" customWidth="1"/>
    <col min="8" max="8" width="29.6640625" style="375" customWidth="1"/>
    <col min="9" max="16384" width="9.21875" style="375"/>
  </cols>
  <sheetData>
    <row r="1" spans="1:8" ht="13.8">
      <c r="A1" s="373" t="s">
        <v>30</v>
      </c>
      <c r="B1" s="459" t="str">
        <f>'Info '!C2</f>
        <v>JSC "CREDOBANK"</v>
      </c>
      <c r="C1" s="473"/>
      <c r="D1" s="473"/>
      <c r="E1" s="473"/>
      <c r="F1" s="473"/>
      <c r="G1" s="473"/>
      <c r="H1" s="473"/>
    </row>
    <row r="2" spans="1:8">
      <c r="A2" s="373" t="s">
        <v>31</v>
      </c>
      <c r="B2" s="458">
        <f>'1. key ratios '!B2</f>
        <v>45291</v>
      </c>
      <c r="C2" s="473"/>
      <c r="D2" s="473"/>
      <c r="E2" s="473"/>
      <c r="F2" s="473"/>
      <c r="G2" s="473"/>
      <c r="H2" s="473"/>
    </row>
    <row r="3" spans="1:8">
      <c r="A3" s="374" t="s">
        <v>425</v>
      </c>
      <c r="B3" s="473"/>
      <c r="C3" s="473"/>
      <c r="D3" s="473"/>
      <c r="E3" s="473"/>
      <c r="F3" s="473"/>
      <c r="G3" s="473"/>
      <c r="H3" s="473"/>
    </row>
    <row r="4" spans="1:8">
      <c r="A4" s="474"/>
      <c r="B4" s="473"/>
      <c r="C4" s="472" t="s">
        <v>0</v>
      </c>
      <c r="D4" s="472" t="s">
        <v>1</v>
      </c>
      <c r="E4" s="472" t="s">
        <v>2</v>
      </c>
      <c r="F4" s="472" t="s">
        <v>3</v>
      </c>
      <c r="G4" s="472" t="s">
        <v>4</v>
      </c>
      <c r="H4" s="472" t="s">
        <v>5</v>
      </c>
    </row>
    <row r="5" spans="1:8" ht="34.049999999999997" customHeight="1">
      <c r="A5" s="768" t="s">
        <v>426</v>
      </c>
      <c r="B5" s="769"/>
      <c r="C5" s="782" t="s">
        <v>427</v>
      </c>
      <c r="D5" s="782"/>
      <c r="E5" s="782" t="s">
        <v>666</v>
      </c>
      <c r="F5" s="780" t="s">
        <v>428</v>
      </c>
      <c r="G5" s="780" t="s">
        <v>429</v>
      </c>
      <c r="H5" s="470" t="s">
        <v>665</v>
      </c>
    </row>
    <row r="6" spans="1:8" ht="36">
      <c r="A6" s="772"/>
      <c r="B6" s="773"/>
      <c r="C6" s="471" t="s">
        <v>430</v>
      </c>
      <c r="D6" s="471" t="s">
        <v>431</v>
      </c>
      <c r="E6" s="782"/>
      <c r="F6" s="781"/>
      <c r="G6" s="781"/>
      <c r="H6" s="470" t="s">
        <v>664</v>
      </c>
    </row>
    <row r="7" spans="1:8">
      <c r="A7" s="468">
        <v>1</v>
      </c>
      <c r="B7" s="452" t="s">
        <v>51</v>
      </c>
      <c r="C7" s="645"/>
      <c r="D7" s="645">
        <v>169985590</v>
      </c>
      <c r="E7" s="645"/>
      <c r="F7" s="645"/>
      <c r="G7" s="645"/>
      <c r="H7" s="461">
        <f>C7+D7-E7-F7</f>
        <v>169985590</v>
      </c>
    </row>
    <row r="8" spans="1:8">
      <c r="A8" s="468">
        <v>2</v>
      </c>
      <c r="B8" s="452" t="s">
        <v>52</v>
      </c>
      <c r="C8" s="645"/>
      <c r="D8" s="645">
        <v>0</v>
      </c>
      <c r="E8" s="645"/>
      <c r="F8" s="645"/>
      <c r="G8" s="645"/>
      <c r="H8" s="461">
        <f t="shared" ref="H8:H20" si="0">C8+D8-E8-F8</f>
        <v>0</v>
      </c>
    </row>
    <row r="9" spans="1:8">
      <c r="A9" s="468">
        <v>3</v>
      </c>
      <c r="B9" s="452" t="s">
        <v>165</v>
      </c>
      <c r="C9" s="645"/>
      <c r="D9" s="645">
        <v>26136325.489999998</v>
      </c>
      <c r="E9" s="645"/>
      <c r="F9" s="645"/>
      <c r="G9" s="645"/>
      <c r="H9" s="461">
        <f t="shared" si="0"/>
        <v>26136325.489999998</v>
      </c>
    </row>
    <row r="10" spans="1:8">
      <c r="A10" s="468">
        <v>4</v>
      </c>
      <c r="B10" s="452" t="s">
        <v>53</v>
      </c>
      <c r="C10" s="645"/>
      <c r="D10" s="645">
        <v>0</v>
      </c>
      <c r="E10" s="645"/>
      <c r="F10" s="645"/>
      <c r="G10" s="645"/>
      <c r="H10" s="461">
        <f t="shared" si="0"/>
        <v>0</v>
      </c>
    </row>
    <row r="11" spans="1:8">
      <c r="A11" s="468">
        <v>5</v>
      </c>
      <c r="B11" s="452" t="s">
        <v>54</v>
      </c>
      <c r="C11" s="645"/>
      <c r="D11" s="645">
        <v>0</v>
      </c>
      <c r="E11" s="645"/>
      <c r="F11" s="645"/>
      <c r="G11" s="645"/>
      <c r="H11" s="461">
        <f t="shared" si="0"/>
        <v>0</v>
      </c>
    </row>
    <row r="12" spans="1:8">
      <c r="A12" s="468">
        <v>6</v>
      </c>
      <c r="B12" s="452" t="s">
        <v>55</v>
      </c>
      <c r="C12" s="645"/>
      <c r="D12" s="645">
        <v>82543825.430000007</v>
      </c>
      <c r="E12" s="645"/>
      <c r="F12" s="645"/>
      <c r="G12" s="645"/>
      <c r="H12" s="461">
        <f t="shared" si="0"/>
        <v>82543825.430000007</v>
      </c>
    </row>
    <row r="13" spans="1:8">
      <c r="A13" s="468">
        <v>7</v>
      </c>
      <c r="B13" s="452" t="s">
        <v>56</v>
      </c>
      <c r="C13" s="645"/>
      <c r="D13" s="645">
        <v>25001507.899999999</v>
      </c>
      <c r="E13" s="645">
        <v>64489.48</v>
      </c>
      <c r="F13" s="645"/>
      <c r="G13" s="646"/>
      <c r="H13" s="461">
        <f t="shared" si="0"/>
        <v>24937018.419999998</v>
      </c>
    </row>
    <row r="14" spans="1:8">
      <c r="A14" s="468">
        <v>8</v>
      </c>
      <c r="B14" s="454" t="s">
        <v>57</v>
      </c>
      <c r="C14" s="645">
        <v>19743619</v>
      </c>
      <c r="D14" s="646">
        <v>1878356700</v>
      </c>
      <c r="E14" s="645">
        <v>42938341</v>
      </c>
      <c r="F14" s="645"/>
      <c r="G14" s="646">
        <v>19725774.905486047</v>
      </c>
      <c r="H14" s="461">
        <f t="shared" si="0"/>
        <v>1855161978</v>
      </c>
    </row>
    <row r="15" spans="1:8">
      <c r="A15" s="468">
        <v>9</v>
      </c>
      <c r="B15" s="452" t="s">
        <v>58</v>
      </c>
      <c r="C15" s="645">
        <v>7357</v>
      </c>
      <c r="D15" s="646">
        <v>101991543.5</v>
      </c>
      <c r="E15" s="645">
        <v>526916</v>
      </c>
      <c r="F15" s="645"/>
      <c r="G15" s="646"/>
      <c r="H15" s="461">
        <f t="shared" si="0"/>
        <v>101471984.5</v>
      </c>
    </row>
    <row r="16" spans="1:8">
      <c r="A16" s="468">
        <v>10</v>
      </c>
      <c r="B16" s="456" t="s">
        <v>432</v>
      </c>
      <c r="C16" s="646">
        <v>19560135</v>
      </c>
      <c r="D16" s="646"/>
      <c r="E16" s="646">
        <v>15622708</v>
      </c>
      <c r="F16" s="645"/>
      <c r="G16" s="646">
        <v>19725774.905486047</v>
      </c>
      <c r="H16" s="461">
        <f t="shared" si="0"/>
        <v>3937427</v>
      </c>
    </row>
    <row r="17" spans="1:8">
      <c r="A17" s="468">
        <v>11</v>
      </c>
      <c r="B17" s="452" t="s">
        <v>60</v>
      </c>
      <c r="C17" s="645"/>
      <c r="D17" s="645"/>
      <c r="E17" s="645"/>
      <c r="F17" s="645"/>
      <c r="G17" s="645"/>
      <c r="H17" s="461">
        <f t="shared" si="0"/>
        <v>0</v>
      </c>
    </row>
    <row r="18" spans="1:8">
      <c r="A18" s="468">
        <v>12</v>
      </c>
      <c r="B18" s="452" t="s">
        <v>61</v>
      </c>
      <c r="C18" s="645"/>
      <c r="D18" s="645"/>
      <c r="E18" s="645"/>
      <c r="F18" s="645"/>
      <c r="G18" s="645"/>
      <c r="H18" s="461">
        <f t="shared" si="0"/>
        <v>0</v>
      </c>
    </row>
    <row r="19" spans="1:8">
      <c r="A19" s="469">
        <v>13</v>
      </c>
      <c r="B19" s="454" t="s">
        <v>145</v>
      </c>
      <c r="C19" s="645"/>
      <c r="D19" s="645"/>
      <c r="E19" s="645"/>
      <c r="F19" s="645"/>
      <c r="G19" s="645"/>
      <c r="H19" s="461">
        <f t="shared" si="0"/>
        <v>0</v>
      </c>
    </row>
    <row r="20" spans="1:8">
      <c r="A20" s="468">
        <v>14</v>
      </c>
      <c r="B20" s="452" t="s">
        <v>63</v>
      </c>
      <c r="C20" s="646"/>
      <c r="D20" s="646">
        <v>214022962.59999999</v>
      </c>
      <c r="E20" s="646">
        <v>4199814</v>
      </c>
      <c r="F20" s="645"/>
      <c r="G20" s="645"/>
      <c r="H20" s="461">
        <f t="shared" si="0"/>
        <v>209823148.59999999</v>
      </c>
    </row>
    <row r="21" spans="1:8" s="465" customFormat="1">
      <c r="A21" s="467">
        <v>15</v>
      </c>
      <c r="B21" s="466" t="s">
        <v>64</v>
      </c>
      <c r="C21" s="647">
        <f t="shared" ref="C21:G21" si="1">SUM(C7:C15)+SUM(C17:C20)</f>
        <v>19750976</v>
      </c>
      <c r="D21" s="647">
        <f t="shared" si="1"/>
        <v>2498038454.9200001</v>
      </c>
      <c r="E21" s="647">
        <f t="shared" si="1"/>
        <v>47729560.479999997</v>
      </c>
      <c r="F21" s="647">
        <f t="shared" si="1"/>
        <v>0</v>
      </c>
      <c r="G21" s="647">
        <f t="shared" si="1"/>
        <v>19725774.905486047</v>
      </c>
      <c r="H21" s="461">
        <f t="shared" ref="H21" si="2">SUM(H7:H15)+SUM(H17:H20)</f>
        <v>2470059870.4400001</v>
      </c>
    </row>
    <row r="22" spans="1:8">
      <c r="A22" s="464">
        <v>16</v>
      </c>
      <c r="B22" s="463" t="s">
        <v>433</v>
      </c>
      <c r="C22" s="645">
        <f>C14+C15</f>
        <v>19750976</v>
      </c>
      <c r="D22" s="645">
        <f>SUM(D13:D15)</f>
        <v>2005349751.4000001</v>
      </c>
      <c r="E22" s="645">
        <f>SUM(E13:E15)</f>
        <v>43529746.479999997</v>
      </c>
      <c r="F22" s="645"/>
      <c r="G22" s="645">
        <v>19725774.905486047</v>
      </c>
      <c r="H22" s="461">
        <f>C22+D22-E22-F22</f>
        <v>1981570980.9200001</v>
      </c>
    </row>
    <row r="23" spans="1:8">
      <c r="A23" s="464">
        <v>17</v>
      </c>
      <c r="B23" s="463" t="s">
        <v>434</v>
      </c>
      <c r="C23" s="645"/>
      <c r="D23" s="645">
        <v>48888518</v>
      </c>
      <c r="E23" s="645"/>
      <c r="F23" s="645"/>
      <c r="G23" s="645"/>
      <c r="H23" s="461">
        <f>C23+D23-E23-F23</f>
        <v>48888518</v>
      </c>
    </row>
    <row r="26" spans="1:8" ht="42.45" customHeight="1">
      <c r="B26" s="378" t="s">
        <v>519</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topLeftCell="B10" zoomScaleNormal="100" workbookViewId="0">
      <selection activeCell="D33" sqref="D33"/>
    </sheetView>
  </sheetViews>
  <sheetFormatPr defaultColWidth="9.21875" defaultRowHeight="12"/>
  <cols>
    <col min="1" max="1" width="11" style="375" bestFit="1" customWidth="1"/>
    <col min="2" max="2" width="80.6640625" style="375" customWidth="1"/>
    <col min="3" max="3" width="24.44140625" style="375" customWidth="1"/>
    <col min="4" max="4" width="21.21875" style="375" customWidth="1"/>
    <col min="5" max="5" width="14.109375" style="375" customWidth="1"/>
    <col min="6" max="6" width="16.6640625" style="375" customWidth="1"/>
    <col min="7" max="7" width="14.5546875" style="375" customWidth="1"/>
    <col min="8" max="8" width="30.21875" style="375" customWidth="1"/>
    <col min="9" max="16384" width="9.21875" style="375"/>
  </cols>
  <sheetData>
    <row r="1" spans="1:8" ht="13.8">
      <c r="A1" s="373" t="s">
        <v>30</v>
      </c>
      <c r="B1" s="459" t="str">
        <f>'Info '!C2</f>
        <v>JSC "CREDOBANK"</v>
      </c>
      <c r="C1" s="473"/>
      <c r="D1" s="473"/>
      <c r="E1" s="473"/>
      <c r="F1" s="473"/>
      <c r="G1" s="473"/>
      <c r="H1" s="473"/>
    </row>
    <row r="2" spans="1:8">
      <c r="A2" s="373" t="s">
        <v>31</v>
      </c>
      <c r="B2" s="458">
        <f>'1. key ratios '!B2</f>
        <v>45291</v>
      </c>
      <c r="C2" s="473"/>
      <c r="D2" s="473"/>
      <c r="E2" s="473"/>
      <c r="F2" s="473"/>
      <c r="G2" s="473"/>
      <c r="H2" s="473"/>
    </row>
    <row r="3" spans="1:8">
      <c r="A3" s="374" t="s">
        <v>435</v>
      </c>
      <c r="B3" s="473"/>
      <c r="C3" s="473"/>
      <c r="D3" s="473"/>
      <c r="E3" s="473"/>
      <c r="F3" s="473"/>
      <c r="G3" s="473"/>
      <c r="H3" s="473"/>
    </row>
    <row r="4" spans="1:8">
      <c r="A4" s="474"/>
      <c r="B4" s="473"/>
      <c r="C4" s="472" t="s">
        <v>0</v>
      </c>
      <c r="D4" s="472" t="s">
        <v>1</v>
      </c>
      <c r="E4" s="472" t="s">
        <v>2</v>
      </c>
      <c r="F4" s="472" t="s">
        <v>3</v>
      </c>
      <c r="G4" s="472" t="s">
        <v>4</v>
      </c>
      <c r="H4" s="472" t="s">
        <v>5</v>
      </c>
    </row>
    <row r="5" spans="1:8" ht="41.55" customHeight="1">
      <c r="A5" s="768" t="s">
        <v>426</v>
      </c>
      <c r="B5" s="769"/>
      <c r="C5" s="782" t="s">
        <v>427</v>
      </c>
      <c r="D5" s="782"/>
      <c r="E5" s="782" t="s">
        <v>666</v>
      </c>
      <c r="F5" s="780" t="s">
        <v>428</v>
      </c>
      <c r="G5" s="780" t="s">
        <v>429</v>
      </c>
      <c r="H5" s="470" t="s">
        <v>665</v>
      </c>
    </row>
    <row r="6" spans="1:8" ht="36">
      <c r="A6" s="772"/>
      <c r="B6" s="773"/>
      <c r="C6" s="471" t="s">
        <v>430</v>
      </c>
      <c r="D6" s="471" t="s">
        <v>431</v>
      </c>
      <c r="E6" s="782"/>
      <c r="F6" s="781"/>
      <c r="G6" s="781"/>
      <c r="H6" s="470" t="s">
        <v>664</v>
      </c>
    </row>
    <row r="7" spans="1:8">
      <c r="A7" s="462">
        <v>1</v>
      </c>
      <c r="B7" s="477" t="s">
        <v>523</v>
      </c>
      <c r="C7" s="648">
        <v>179350.52535849385</v>
      </c>
      <c r="D7" s="649">
        <v>207229907.53007433</v>
      </c>
      <c r="E7" s="649">
        <v>618804.69021759648</v>
      </c>
      <c r="F7" s="462"/>
      <c r="G7" s="646">
        <v>273841.90000000008</v>
      </c>
      <c r="H7" s="652">
        <f t="shared" ref="H7:H34" si="0">C7+D7-E7-F7</f>
        <v>206790453.36521524</v>
      </c>
    </row>
    <row r="8" spans="1:8">
      <c r="A8" s="462">
        <v>2</v>
      </c>
      <c r="B8" s="477" t="s">
        <v>436</v>
      </c>
      <c r="C8" s="648">
        <v>32488.595276212473</v>
      </c>
      <c r="D8" s="649">
        <v>120401246.89091186</v>
      </c>
      <c r="E8" s="649">
        <v>137028.25036065761</v>
      </c>
      <c r="F8" s="462"/>
      <c r="G8" s="646">
        <v>13293.03</v>
      </c>
      <c r="H8" s="652">
        <f t="shared" si="0"/>
        <v>120296707.23582742</v>
      </c>
    </row>
    <row r="9" spans="1:8">
      <c r="A9" s="462">
        <v>3</v>
      </c>
      <c r="B9" s="477" t="s">
        <v>437</v>
      </c>
      <c r="C9" s="648">
        <v>83179.810827654292</v>
      </c>
      <c r="D9" s="649">
        <v>6502480.7478759997</v>
      </c>
      <c r="E9" s="649">
        <v>206995.26160307706</v>
      </c>
      <c r="F9" s="462"/>
      <c r="G9" s="646">
        <v>56012.05000000001</v>
      </c>
      <c r="H9" s="652">
        <f t="shared" si="0"/>
        <v>6378665.2971005766</v>
      </c>
    </row>
    <row r="10" spans="1:8">
      <c r="A10" s="462">
        <v>4</v>
      </c>
      <c r="B10" s="477" t="s">
        <v>524</v>
      </c>
      <c r="C10" s="650"/>
      <c r="D10" s="649">
        <v>11894168.914391153</v>
      </c>
      <c r="E10" s="649">
        <v>33502.016335843873</v>
      </c>
      <c r="F10" s="462"/>
      <c r="G10" s="646">
        <v>770.27</v>
      </c>
      <c r="H10" s="652">
        <f t="shared" si="0"/>
        <v>11860666.898055309</v>
      </c>
    </row>
    <row r="11" spans="1:8">
      <c r="A11" s="462">
        <v>5</v>
      </c>
      <c r="B11" s="477" t="s">
        <v>438</v>
      </c>
      <c r="C11" s="648">
        <v>13520.958733412901</v>
      </c>
      <c r="D11" s="649">
        <v>34819683.578347683</v>
      </c>
      <c r="E11" s="649">
        <v>169495.58301145458</v>
      </c>
      <c r="F11" s="462"/>
      <c r="G11" s="646">
        <v>12631.030164</v>
      </c>
      <c r="H11" s="652">
        <f t="shared" si="0"/>
        <v>34663708.954069637</v>
      </c>
    </row>
    <row r="12" spans="1:8">
      <c r="A12" s="462">
        <v>6</v>
      </c>
      <c r="B12" s="477" t="s">
        <v>439</v>
      </c>
      <c r="C12" s="648">
        <v>76531.235574721315</v>
      </c>
      <c r="D12" s="649">
        <v>9354805.2073267791</v>
      </c>
      <c r="E12" s="649">
        <v>160715.97671847732</v>
      </c>
      <c r="F12" s="462"/>
      <c r="G12" s="646">
        <v>153208.88999999998</v>
      </c>
      <c r="H12" s="652">
        <f t="shared" si="0"/>
        <v>9270620.4661830217</v>
      </c>
    </row>
    <row r="13" spans="1:8">
      <c r="A13" s="462">
        <v>7</v>
      </c>
      <c r="B13" s="477" t="s">
        <v>440</v>
      </c>
      <c r="C13" s="648">
        <v>33902.056737673949</v>
      </c>
      <c r="D13" s="649">
        <v>3612082.5115948389</v>
      </c>
      <c r="E13" s="649">
        <v>90108.563545166893</v>
      </c>
      <c r="F13" s="462"/>
      <c r="G13" s="646">
        <v>30017.37</v>
      </c>
      <c r="H13" s="652">
        <f t="shared" si="0"/>
        <v>3555876.0047873459</v>
      </c>
    </row>
    <row r="14" spans="1:8">
      <c r="A14" s="462">
        <v>8</v>
      </c>
      <c r="B14" s="477" t="s">
        <v>441</v>
      </c>
      <c r="C14" s="648">
        <v>1336347.0489405424</v>
      </c>
      <c r="D14" s="649">
        <v>145424754.72921863</v>
      </c>
      <c r="E14" s="649">
        <v>3166248.3053734768</v>
      </c>
      <c r="F14" s="462"/>
      <c r="G14" s="646">
        <v>1130132.2104330007</v>
      </c>
      <c r="H14" s="652">
        <f t="shared" si="0"/>
        <v>143594853.47278568</v>
      </c>
    </row>
    <row r="15" spans="1:8">
      <c r="A15" s="462">
        <v>9</v>
      </c>
      <c r="B15" s="477" t="s">
        <v>442</v>
      </c>
      <c r="C15" s="648">
        <v>329829.33939602587</v>
      </c>
      <c r="D15" s="649">
        <v>28796132.121185556</v>
      </c>
      <c r="E15" s="649">
        <v>629022.71151959838</v>
      </c>
      <c r="F15" s="462"/>
      <c r="G15" s="646">
        <v>254949.49254000001</v>
      </c>
      <c r="H15" s="652">
        <f t="shared" si="0"/>
        <v>28496938.749061983</v>
      </c>
    </row>
    <row r="16" spans="1:8">
      <c r="A16" s="462">
        <v>10</v>
      </c>
      <c r="B16" s="477" t="s">
        <v>443</v>
      </c>
      <c r="C16" s="648">
        <v>352314.98015856021</v>
      </c>
      <c r="D16" s="649">
        <v>13518698.671907088</v>
      </c>
      <c r="E16" s="649">
        <v>413488.00663427479</v>
      </c>
      <c r="F16" s="462"/>
      <c r="G16" s="646">
        <v>180236.68027000001</v>
      </c>
      <c r="H16" s="652">
        <f t="shared" si="0"/>
        <v>13457525.645431373</v>
      </c>
    </row>
    <row r="17" spans="1:8">
      <c r="A17" s="462">
        <v>11</v>
      </c>
      <c r="B17" s="477" t="s">
        <v>444</v>
      </c>
      <c r="C17" s="648">
        <v>185212.94414502694</v>
      </c>
      <c r="D17" s="649">
        <v>6769750.5617046468</v>
      </c>
      <c r="E17" s="649">
        <v>240484.15646120021</v>
      </c>
      <c r="F17" s="462"/>
      <c r="G17" s="646">
        <v>94023.24000000002</v>
      </c>
      <c r="H17" s="652">
        <f t="shared" si="0"/>
        <v>6714479.3493884727</v>
      </c>
    </row>
    <row r="18" spans="1:8">
      <c r="A18" s="462">
        <v>12</v>
      </c>
      <c r="B18" s="477" t="s">
        <v>445</v>
      </c>
      <c r="C18" s="648">
        <v>709834.08732889337</v>
      </c>
      <c r="D18" s="649">
        <v>115611088.03503834</v>
      </c>
      <c r="E18" s="649">
        <v>1983013.970255889</v>
      </c>
      <c r="F18" s="462"/>
      <c r="G18" s="646">
        <v>666717.22997800016</v>
      </c>
      <c r="H18" s="652">
        <f t="shared" si="0"/>
        <v>114337908.15211135</v>
      </c>
    </row>
    <row r="19" spans="1:8">
      <c r="A19" s="462">
        <v>13</v>
      </c>
      <c r="B19" s="477" t="s">
        <v>446</v>
      </c>
      <c r="C19" s="648">
        <v>133183.33312950906</v>
      </c>
      <c r="D19" s="649">
        <v>15851849.357179044</v>
      </c>
      <c r="E19" s="649">
        <v>301187.72414538404</v>
      </c>
      <c r="F19" s="462"/>
      <c r="G19" s="646">
        <v>430180.38231600006</v>
      </c>
      <c r="H19" s="652">
        <f t="shared" si="0"/>
        <v>15683844.966163168</v>
      </c>
    </row>
    <row r="20" spans="1:8">
      <c r="A20" s="462">
        <v>14</v>
      </c>
      <c r="B20" s="477" t="s">
        <v>447</v>
      </c>
      <c r="C20" s="648">
        <v>138839.16859506821</v>
      </c>
      <c r="D20" s="649">
        <v>53076297.974328145</v>
      </c>
      <c r="E20" s="649">
        <v>670839.41720271984</v>
      </c>
      <c r="F20" s="462"/>
      <c r="G20" s="646">
        <v>46410.629301999972</v>
      </c>
      <c r="H20" s="652">
        <f t="shared" si="0"/>
        <v>52544297.725720495</v>
      </c>
    </row>
    <row r="21" spans="1:8">
      <c r="A21" s="462">
        <v>15</v>
      </c>
      <c r="B21" s="477" t="s">
        <v>448</v>
      </c>
      <c r="C21" s="648">
        <v>718100.64017737925</v>
      </c>
      <c r="D21" s="649">
        <v>33497496.300450593</v>
      </c>
      <c r="E21" s="649">
        <v>1147653.0105670197</v>
      </c>
      <c r="F21" s="462"/>
      <c r="G21" s="646">
        <v>294370.63882000023</v>
      </c>
      <c r="H21" s="652">
        <f t="shared" si="0"/>
        <v>33067943.930060949</v>
      </c>
    </row>
    <row r="22" spans="1:8">
      <c r="A22" s="462">
        <v>16</v>
      </c>
      <c r="B22" s="477" t="s">
        <v>449</v>
      </c>
      <c r="C22" s="648">
        <v>61926.63466588076</v>
      </c>
      <c r="D22" s="649">
        <v>10100034.65232804</v>
      </c>
      <c r="E22" s="649">
        <v>182610.65083189018</v>
      </c>
      <c r="F22" s="462"/>
      <c r="G22" s="646">
        <v>85990.147384000011</v>
      </c>
      <c r="H22" s="652">
        <f t="shared" si="0"/>
        <v>9979350.6361620314</v>
      </c>
    </row>
    <row r="23" spans="1:8">
      <c r="A23" s="462">
        <v>17</v>
      </c>
      <c r="B23" s="477" t="s">
        <v>527</v>
      </c>
      <c r="C23" s="648">
        <v>6315.32</v>
      </c>
      <c r="D23" s="649">
        <v>794987.4289846567</v>
      </c>
      <c r="E23" s="649">
        <v>16976.104403215268</v>
      </c>
      <c r="F23" s="462"/>
      <c r="G23" s="646">
        <v>2583.6999999999998</v>
      </c>
      <c r="H23" s="652">
        <f t="shared" si="0"/>
        <v>784326.64458144142</v>
      </c>
    </row>
    <row r="24" spans="1:8">
      <c r="A24" s="462">
        <v>18</v>
      </c>
      <c r="B24" s="477" t="s">
        <v>450</v>
      </c>
      <c r="C24" s="648">
        <v>20894.860278490356</v>
      </c>
      <c r="D24" s="649">
        <v>3158060.5024479749</v>
      </c>
      <c r="E24" s="649">
        <v>67850.644982854079</v>
      </c>
      <c r="F24" s="462"/>
      <c r="G24" s="646">
        <v>36720.299999999996</v>
      </c>
      <c r="H24" s="652">
        <f t="shared" si="0"/>
        <v>3111104.7177436114</v>
      </c>
    </row>
    <row r="25" spans="1:8">
      <c r="A25" s="462">
        <v>19</v>
      </c>
      <c r="B25" s="477" t="s">
        <v>451</v>
      </c>
      <c r="C25" s="648">
        <v>17825.64238109456</v>
      </c>
      <c r="D25" s="649">
        <v>5288461.2189390603</v>
      </c>
      <c r="E25" s="649">
        <v>67265.151523963723</v>
      </c>
      <c r="F25" s="462"/>
      <c r="G25" s="646">
        <v>38077.870000000003</v>
      </c>
      <c r="H25" s="652">
        <f t="shared" si="0"/>
        <v>5239021.7097961912</v>
      </c>
    </row>
    <row r="26" spans="1:8">
      <c r="A26" s="462">
        <v>20</v>
      </c>
      <c r="B26" s="477" t="s">
        <v>526</v>
      </c>
      <c r="C26" s="648">
        <v>29814.761174858846</v>
      </c>
      <c r="D26" s="649">
        <v>15430333.252581781</v>
      </c>
      <c r="E26" s="649">
        <v>165763.78223678222</v>
      </c>
      <c r="F26" s="462"/>
      <c r="G26" s="646">
        <v>21836.760000000006</v>
      </c>
      <c r="H26" s="652">
        <f t="shared" si="0"/>
        <v>15294384.231519857</v>
      </c>
    </row>
    <row r="27" spans="1:8">
      <c r="A27" s="462">
        <v>21</v>
      </c>
      <c r="B27" s="477" t="s">
        <v>452</v>
      </c>
      <c r="C27" s="648">
        <v>29843.588369450594</v>
      </c>
      <c r="D27" s="649">
        <v>1872983.5431712002</v>
      </c>
      <c r="E27" s="649">
        <v>41474.708486499389</v>
      </c>
      <c r="F27" s="462"/>
      <c r="G27" s="646">
        <v>3301.4</v>
      </c>
      <c r="H27" s="652">
        <f t="shared" si="0"/>
        <v>1861352.4230541512</v>
      </c>
    </row>
    <row r="28" spans="1:8">
      <c r="A28" s="462">
        <v>22</v>
      </c>
      <c r="B28" s="477" t="s">
        <v>453</v>
      </c>
      <c r="C28" s="648">
        <v>10116.155376153871</v>
      </c>
      <c r="D28" s="649">
        <v>767982.62169351813</v>
      </c>
      <c r="E28" s="649">
        <v>17670.675171271534</v>
      </c>
      <c r="F28" s="462"/>
      <c r="G28" s="646">
        <v>844.94</v>
      </c>
      <c r="H28" s="652">
        <f t="shared" si="0"/>
        <v>760428.10189840046</v>
      </c>
    </row>
    <row r="29" spans="1:8">
      <c r="A29" s="462">
        <v>23</v>
      </c>
      <c r="B29" s="477" t="s">
        <v>454</v>
      </c>
      <c r="C29" s="648">
        <v>5464007.1929433122</v>
      </c>
      <c r="D29" s="649">
        <v>454124770.92078954</v>
      </c>
      <c r="E29" s="649">
        <v>11095869.478209471</v>
      </c>
      <c r="F29" s="462"/>
      <c r="G29" s="646">
        <v>5553075.7008050038</v>
      </c>
      <c r="H29" s="652">
        <f t="shared" si="0"/>
        <v>448492908.63552338</v>
      </c>
    </row>
    <row r="30" spans="1:8">
      <c r="A30" s="462">
        <v>24</v>
      </c>
      <c r="B30" s="477" t="s">
        <v>525</v>
      </c>
      <c r="C30" s="648">
        <v>8264238.400626203</v>
      </c>
      <c r="D30" s="649">
        <v>775019095.03978419</v>
      </c>
      <c r="E30" s="649">
        <v>17841669.755292051</v>
      </c>
      <c r="F30" s="462"/>
      <c r="G30" s="646">
        <v>7601648.30616898</v>
      </c>
      <c r="H30" s="652">
        <f t="shared" si="0"/>
        <v>765441663.68511832</v>
      </c>
    </row>
    <row r="31" spans="1:8">
      <c r="A31" s="462">
        <v>25</v>
      </c>
      <c r="B31" s="477" t="s">
        <v>455</v>
      </c>
      <c r="C31" s="648">
        <v>1127304.4896567527</v>
      </c>
      <c r="D31" s="649">
        <v>151079833.7792387</v>
      </c>
      <c r="E31" s="649">
        <v>2785625.6459317827</v>
      </c>
      <c r="F31" s="462"/>
      <c r="G31" s="646">
        <v>2077964.4873050032</v>
      </c>
      <c r="H31" s="652">
        <f t="shared" si="0"/>
        <v>149421512.62296367</v>
      </c>
    </row>
    <row r="32" spans="1:8">
      <c r="A32" s="462">
        <v>26</v>
      </c>
      <c r="B32" s="477" t="s">
        <v>522</v>
      </c>
      <c r="C32" s="651">
        <v>396054.3311541478</v>
      </c>
      <c r="D32" s="649">
        <v>60018506.047748946</v>
      </c>
      <c r="E32" s="649">
        <v>1278382.6114659368</v>
      </c>
      <c r="F32" s="462"/>
      <c r="G32" s="646">
        <v>666936.16999999934</v>
      </c>
      <c r="H32" s="652">
        <f t="shared" si="0"/>
        <v>59136177.767437153</v>
      </c>
    </row>
    <row r="33" spans="1:8">
      <c r="A33" s="462">
        <v>27</v>
      </c>
      <c r="B33" s="462" t="s">
        <v>456</v>
      </c>
      <c r="C33" s="646"/>
      <c r="D33" s="649">
        <v>214022962.59999999</v>
      </c>
      <c r="E33" s="649">
        <v>4199814</v>
      </c>
      <c r="F33" s="462"/>
      <c r="G33" s="649"/>
      <c r="H33" s="652">
        <f t="shared" si="0"/>
        <v>209823148.59999999</v>
      </c>
    </row>
    <row r="34" spans="1:8">
      <c r="A34" s="462">
        <v>28</v>
      </c>
      <c r="B34" s="466" t="s">
        <v>64</v>
      </c>
      <c r="C34" s="647">
        <f>SUM(C7:C33)</f>
        <v>19750976.101005521</v>
      </c>
      <c r="D34" s="647">
        <f>SUM(D7:D33)</f>
        <v>2498038454.7392421</v>
      </c>
      <c r="E34" s="647">
        <f>SUM(E7:E33)</f>
        <v>47729560.852487557</v>
      </c>
      <c r="F34" s="647">
        <f>SUM(F7:F33)</f>
        <v>0</v>
      </c>
      <c r="G34" s="647">
        <f>SUM(G7:G33)</f>
        <v>19725774.825485989</v>
      </c>
      <c r="H34" s="652">
        <f t="shared" si="0"/>
        <v>2470059869.9877601</v>
      </c>
    </row>
    <row r="36" spans="1:8">
      <c r="B36" s="476"/>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election activeCell="C11" sqref="C11:C14"/>
    </sheetView>
  </sheetViews>
  <sheetFormatPr defaultColWidth="9.21875" defaultRowHeight="12"/>
  <cols>
    <col min="1" max="1" width="11.77734375" style="375" bestFit="1" customWidth="1"/>
    <col min="2" max="2" width="108" style="375" bestFit="1" customWidth="1"/>
    <col min="3" max="3" width="35.5546875" style="375" customWidth="1"/>
    <col min="4" max="4" width="38.44140625" style="375" customWidth="1"/>
    <col min="5" max="16384" width="9.21875" style="375"/>
  </cols>
  <sheetData>
    <row r="1" spans="1:4" ht="13.8">
      <c r="A1" s="373" t="s">
        <v>30</v>
      </c>
      <c r="B1" s="459" t="str">
        <f>'Info '!C2</f>
        <v>JSC "CREDOBANK"</v>
      </c>
    </row>
    <row r="2" spans="1:4">
      <c r="A2" s="373" t="s">
        <v>31</v>
      </c>
      <c r="B2" s="458">
        <f>'1. key ratios '!B2</f>
        <v>45291</v>
      </c>
    </row>
    <row r="3" spans="1:4">
      <c r="A3" s="374" t="s">
        <v>457</v>
      </c>
    </row>
    <row r="5" spans="1:4">
      <c r="A5" s="783" t="s">
        <v>673</v>
      </c>
      <c r="B5" s="783"/>
      <c r="C5" s="457" t="s">
        <v>474</v>
      </c>
      <c r="D5" s="457" t="s">
        <v>515</v>
      </c>
    </row>
    <row r="6" spans="1:4">
      <c r="A6" s="485">
        <v>1</v>
      </c>
      <c r="B6" s="478" t="s">
        <v>672</v>
      </c>
      <c r="C6" s="653">
        <v>41078457</v>
      </c>
      <c r="D6" s="480"/>
    </row>
    <row r="7" spans="1:4">
      <c r="A7" s="482">
        <v>2</v>
      </c>
      <c r="B7" s="478" t="s">
        <v>671</v>
      </c>
      <c r="C7" s="643">
        <f>SUM(C8:C9)</f>
        <v>37643778.144391268</v>
      </c>
      <c r="D7" s="480">
        <f>SUM(D8:D9)</f>
        <v>0</v>
      </c>
    </row>
    <row r="8" spans="1:4">
      <c r="A8" s="484">
        <v>2.1</v>
      </c>
      <c r="B8" s="483" t="s">
        <v>530</v>
      </c>
      <c r="C8" s="653">
        <v>4938054.8261548299</v>
      </c>
      <c r="D8" s="480"/>
    </row>
    <row r="9" spans="1:4">
      <c r="A9" s="484">
        <v>2.2000000000000002</v>
      </c>
      <c r="B9" s="483" t="s">
        <v>528</v>
      </c>
      <c r="C9" s="653">
        <v>32705723.31823644</v>
      </c>
      <c r="D9" s="480"/>
    </row>
    <row r="10" spans="1:4">
      <c r="A10" s="485">
        <v>3</v>
      </c>
      <c r="B10" s="478" t="s">
        <v>670</v>
      </c>
      <c r="C10" s="643">
        <f>SUM(C11:C13)</f>
        <v>35233690.689347111</v>
      </c>
      <c r="D10" s="480">
        <f>SUM(D11:D13)</f>
        <v>0</v>
      </c>
    </row>
    <row r="11" spans="1:4">
      <c r="A11" s="484">
        <v>3.1</v>
      </c>
      <c r="B11" s="483" t="s">
        <v>459</v>
      </c>
      <c r="C11" s="654">
        <v>19725775.139153901</v>
      </c>
      <c r="D11" s="480"/>
    </row>
    <row r="12" spans="1:4">
      <c r="A12" s="484">
        <v>3.2</v>
      </c>
      <c r="B12" s="483" t="s">
        <v>669</v>
      </c>
      <c r="C12" s="654">
        <v>6532098.8200407699</v>
      </c>
      <c r="D12" s="480"/>
    </row>
    <row r="13" spans="1:4">
      <c r="A13" s="484">
        <v>3.3</v>
      </c>
      <c r="B13" s="483" t="s">
        <v>529</v>
      </c>
      <c r="C13" s="653">
        <v>8975816.7301524393</v>
      </c>
      <c r="D13" s="480"/>
    </row>
    <row r="14" spans="1:4">
      <c r="A14" s="482">
        <v>4</v>
      </c>
      <c r="B14" s="481" t="s">
        <v>668</v>
      </c>
      <c r="C14" s="653">
        <v>41202.215711316385</v>
      </c>
      <c r="D14" s="480"/>
    </row>
    <row r="15" spans="1:4">
      <c r="A15" s="479">
        <v>5</v>
      </c>
      <c r="B15" s="478" t="s">
        <v>667</v>
      </c>
      <c r="C15" s="643">
        <f>C6+C7-C10+C14</f>
        <v>43529746.670755476</v>
      </c>
      <c r="D15" s="450">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D27" sqref="D27"/>
    </sheetView>
  </sheetViews>
  <sheetFormatPr defaultColWidth="9.21875" defaultRowHeight="12"/>
  <cols>
    <col min="1" max="1" width="11.77734375" style="375" bestFit="1" customWidth="1"/>
    <col min="2" max="2" width="88.6640625" style="375" customWidth="1"/>
    <col min="3" max="3" width="37" style="375" customWidth="1"/>
    <col min="4" max="4" width="50.5546875" style="375" customWidth="1"/>
    <col min="5" max="16384" width="9.21875" style="375"/>
  </cols>
  <sheetData>
    <row r="1" spans="1:4" ht="13.8">
      <c r="A1" s="373" t="s">
        <v>30</v>
      </c>
      <c r="B1" s="459" t="str">
        <f>'Info '!C2</f>
        <v>JSC "CREDOBANK"</v>
      </c>
    </row>
    <row r="2" spans="1:4">
      <c r="A2" s="373" t="s">
        <v>31</v>
      </c>
      <c r="B2" s="458">
        <f>'1. key ratios '!B2</f>
        <v>45291</v>
      </c>
    </row>
    <row r="3" spans="1:4">
      <c r="A3" s="374" t="s">
        <v>461</v>
      </c>
    </row>
    <row r="4" spans="1:4">
      <c r="A4" s="374"/>
    </row>
    <row r="5" spans="1:4" ht="15" customHeight="1">
      <c r="A5" s="784" t="s">
        <v>531</v>
      </c>
      <c r="B5" s="785"/>
      <c r="C5" s="788" t="s">
        <v>462</v>
      </c>
      <c r="D5" s="788" t="s">
        <v>463</v>
      </c>
    </row>
    <row r="6" spans="1:4">
      <c r="A6" s="786"/>
      <c r="B6" s="787"/>
      <c r="C6" s="788"/>
      <c r="D6" s="788"/>
    </row>
    <row r="7" spans="1:4">
      <c r="A7" s="450">
        <v>1</v>
      </c>
      <c r="B7" s="450" t="s">
        <v>458</v>
      </c>
      <c r="C7" s="645">
        <v>14219511.189506028</v>
      </c>
      <c r="D7" s="486"/>
    </row>
    <row r="8" spans="1:4">
      <c r="A8" s="480">
        <v>2</v>
      </c>
      <c r="B8" s="480" t="s">
        <v>464</v>
      </c>
      <c r="C8" s="645">
        <v>26209441</v>
      </c>
      <c r="D8" s="486"/>
    </row>
    <row r="9" spans="1:4">
      <c r="A9" s="480">
        <v>3</v>
      </c>
      <c r="B9" s="489" t="s">
        <v>676</v>
      </c>
      <c r="C9" s="645">
        <v>27847.200000000001</v>
      </c>
      <c r="D9" s="486"/>
    </row>
    <row r="10" spans="1:4">
      <c r="A10" s="480">
        <v>4</v>
      </c>
      <c r="B10" s="480" t="s">
        <v>465</v>
      </c>
      <c r="C10" s="647">
        <f>SUM(C11:C17)</f>
        <v>20705823.505486049</v>
      </c>
      <c r="D10" s="486"/>
    </row>
    <row r="11" spans="1:4">
      <c r="A11" s="480">
        <v>5</v>
      </c>
      <c r="B11" s="488" t="s">
        <v>675</v>
      </c>
      <c r="C11" s="645"/>
      <c r="D11" s="486"/>
    </row>
    <row r="12" spans="1:4">
      <c r="A12" s="480">
        <v>6</v>
      </c>
      <c r="B12" s="488" t="s">
        <v>466</v>
      </c>
      <c r="C12" s="646">
        <v>964133.6</v>
      </c>
      <c r="D12" s="486"/>
    </row>
    <row r="13" spans="1:4">
      <c r="A13" s="480">
        <v>7</v>
      </c>
      <c r="B13" s="488" t="s">
        <v>469</v>
      </c>
      <c r="C13" s="646">
        <v>19725774.905486047</v>
      </c>
      <c r="D13" s="486"/>
    </row>
    <row r="14" spans="1:4">
      <c r="A14" s="480">
        <v>8</v>
      </c>
      <c r="B14" s="488" t="s">
        <v>467</v>
      </c>
      <c r="C14" s="645"/>
      <c r="D14" s="480"/>
    </row>
    <row r="15" spans="1:4">
      <c r="A15" s="480">
        <v>9</v>
      </c>
      <c r="B15" s="488" t="s">
        <v>468</v>
      </c>
      <c r="C15" s="645"/>
      <c r="D15" s="480"/>
    </row>
    <row r="16" spans="1:4">
      <c r="A16" s="480">
        <v>10</v>
      </c>
      <c r="B16" s="488" t="s">
        <v>470</v>
      </c>
      <c r="C16" s="645"/>
      <c r="D16" s="480"/>
    </row>
    <row r="17" spans="1:4">
      <c r="A17" s="480">
        <v>11</v>
      </c>
      <c r="B17" s="488" t="s">
        <v>674</v>
      </c>
      <c r="C17" s="645">
        <v>15915</v>
      </c>
      <c r="D17" s="486"/>
    </row>
    <row r="18" spans="1:4">
      <c r="A18" s="450">
        <v>12</v>
      </c>
      <c r="B18" s="487" t="s">
        <v>460</v>
      </c>
      <c r="C18" s="647">
        <f>C7+C8+C9-C10</f>
        <v>19750975.884019978</v>
      </c>
      <c r="D18" s="486"/>
    </row>
    <row r="21" spans="1:4">
      <c r="B21" s="373"/>
    </row>
    <row r="22" spans="1:4">
      <c r="B22" s="373"/>
    </row>
    <row r="23" spans="1:4">
      <c r="B23" s="37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opLeftCell="A3" zoomScaleNormal="100" workbookViewId="0">
      <selection activeCell="T17" sqref="T17"/>
    </sheetView>
  </sheetViews>
  <sheetFormatPr defaultColWidth="9.21875" defaultRowHeight="12"/>
  <cols>
    <col min="1" max="1" width="11.77734375" style="473" bestFit="1" customWidth="1"/>
    <col min="2" max="2" width="47.77734375" style="473" customWidth="1"/>
    <col min="3" max="3" width="15.5546875" style="473" customWidth="1"/>
    <col min="4" max="18" width="22.21875" style="473" customWidth="1"/>
    <col min="19" max="19" width="23.21875" style="473" bestFit="1" customWidth="1"/>
    <col min="20" max="26" width="22.21875" style="473" customWidth="1"/>
    <col min="27" max="27" width="23.21875" style="473" bestFit="1" customWidth="1"/>
    <col min="28" max="28" width="20" style="473" customWidth="1"/>
    <col min="29" max="16384" width="9.21875" style="473"/>
  </cols>
  <sheetData>
    <row r="1" spans="1:28" ht="13.8">
      <c r="A1" s="373" t="s">
        <v>30</v>
      </c>
      <c r="B1" s="459" t="str">
        <f>'Info '!C2</f>
        <v>JSC "CREDOBANK"</v>
      </c>
    </row>
    <row r="2" spans="1:28">
      <c r="A2" s="373" t="s">
        <v>31</v>
      </c>
      <c r="B2" s="458">
        <f>'1. key ratios '!B2</f>
        <v>45291</v>
      </c>
      <c r="C2" s="474"/>
    </row>
    <row r="3" spans="1:28">
      <c r="A3" s="374" t="s">
        <v>471</v>
      </c>
    </row>
    <row r="5" spans="1:28" ht="15" customHeight="1">
      <c r="A5" s="790" t="s">
        <v>688</v>
      </c>
      <c r="B5" s="791"/>
      <c r="C5" s="796" t="s">
        <v>472</v>
      </c>
      <c r="D5" s="797"/>
      <c r="E5" s="797"/>
      <c r="F5" s="797"/>
      <c r="G5" s="797"/>
      <c r="H5" s="797"/>
      <c r="I5" s="797"/>
      <c r="J5" s="797"/>
      <c r="K5" s="797"/>
      <c r="L5" s="797"/>
      <c r="M5" s="797"/>
      <c r="N5" s="797"/>
      <c r="O5" s="797"/>
      <c r="P5" s="797"/>
      <c r="Q5" s="797"/>
      <c r="R5" s="797"/>
      <c r="S5" s="797"/>
      <c r="T5" s="498"/>
      <c r="U5" s="498"/>
      <c r="V5" s="498"/>
      <c r="W5" s="498"/>
      <c r="X5" s="498"/>
      <c r="Y5" s="498"/>
      <c r="Z5" s="498"/>
      <c r="AA5" s="497"/>
      <c r="AB5" s="492"/>
    </row>
    <row r="6" spans="1:28" ht="12" customHeight="1">
      <c r="A6" s="792"/>
      <c r="B6" s="793"/>
      <c r="C6" s="798" t="s">
        <v>64</v>
      </c>
      <c r="D6" s="800" t="s">
        <v>687</v>
      </c>
      <c r="E6" s="800"/>
      <c r="F6" s="800"/>
      <c r="G6" s="800"/>
      <c r="H6" s="800" t="s">
        <v>686</v>
      </c>
      <c r="I6" s="800"/>
      <c r="J6" s="800"/>
      <c r="K6" s="800"/>
      <c r="L6" s="495"/>
      <c r="M6" s="801" t="s">
        <v>685</v>
      </c>
      <c r="N6" s="801"/>
      <c r="O6" s="801"/>
      <c r="P6" s="801"/>
      <c r="Q6" s="801"/>
      <c r="R6" s="801"/>
      <c r="S6" s="781"/>
      <c r="T6" s="496"/>
      <c r="U6" s="789" t="s">
        <v>684</v>
      </c>
      <c r="V6" s="789"/>
      <c r="W6" s="789"/>
      <c r="X6" s="789"/>
      <c r="Y6" s="789"/>
      <c r="Z6" s="789"/>
      <c r="AA6" s="782"/>
      <c r="AB6" s="495"/>
    </row>
    <row r="7" spans="1:28" ht="24">
      <c r="A7" s="794"/>
      <c r="B7" s="795"/>
      <c r="C7" s="799"/>
      <c r="D7" s="494"/>
      <c r="E7" s="470" t="s">
        <v>473</v>
      </c>
      <c r="F7" s="470" t="s">
        <v>682</v>
      </c>
      <c r="G7" s="472" t="s">
        <v>683</v>
      </c>
      <c r="H7" s="474"/>
      <c r="I7" s="470" t="s">
        <v>473</v>
      </c>
      <c r="J7" s="470" t="s">
        <v>682</v>
      </c>
      <c r="K7" s="472" t="s">
        <v>683</v>
      </c>
      <c r="L7" s="493"/>
      <c r="M7" s="470" t="s">
        <v>473</v>
      </c>
      <c r="N7" s="470" t="s">
        <v>682</v>
      </c>
      <c r="O7" s="470" t="s">
        <v>681</v>
      </c>
      <c r="P7" s="470" t="s">
        <v>680</v>
      </c>
      <c r="Q7" s="470" t="s">
        <v>679</v>
      </c>
      <c r="R7" s="470" t="s">
        <v>678</v>
      </c>
      <c r="S7" s="470" t="s">
        <v>677</v>
      </c>
      <c r="T7" s="493"/>
      <c r="U7" s="470" t="s">
        <v>473</v>
      </c>
      <c r="V7" s="470" t="s">
        <v>682</v>
      </c>
      <c r="W7" s="470" t="s">
        <v>681</v>
      </c>
      <c r="X7" s="470" t="s">
        <v>680</v>
      </c>
      <c r="Y7" s="470" t="s">
        <v>679</v>
      </c>
      <c r="Z7" s="470" t="s">
        <v>678</v>
      </c>
      <c r="AA7" s="470" t="s">
        <v>677</v>
      </c>
      <c r="AB7" s="492"/>
    </row>
    <row r="8" spans="1:28">
      <c r="A8" s="491">
        <v>1</v>
      </c>
      <c r="B8" s="466" t="s">
        <v>474</v>
      </c>
      <c r="C8" s="647">
        <f>SUM(C9:C14)</f>
        <v>2025100727.3201427</v>
      </c>
      <c r="D8" s="647">
        <f t="shared" ref="D8:AA8" si="0">SUM(D9:D14)</f>
        <v>1931232583.4219537</v>
      </c>
      <c r="E8" s="647">
        <f t="shared" si="0"/>
        <v>6288686.3930748245</v>
      </c>
      <c r="F8" s="647">
        <f t="shared" si="0"/>
        <v>0</v>
      </c>
      <c r="G8" s="647">
        <f t="shared" si="0"/>
        <v>0</v>
      </c>
      <c r="H8" s="647">
        <f t="shared" si="0"/>
        <v>74117167.79718326</v>
      </c>
      <c r="I8" s="647">
        <f t="shared" si="0"/>
        <v>1385310.7034624992</v>
      </c>
      <c r="J8" s="647">
        <f t="shared" si="0"/>
        <v>10054534.335946046</v>
      </c>
      <c r="K8" s="647">
        <f t="shared" si="0"/>
        <v>0</v>
      </c>
      <c r="L8" s="647">
        <f t="shared" si="0"/>
        <v>19560135.081005529</v>
      </c>
      <c r="M8" s="647">
        <f t="shared" si="0"/>
        <v>169504.4990875721</v>
      </c>
      <c r="N8" s="647">
        <f t="shared" si="0"/>
        <v>678746.64364598342</v>
      </c>
      <c r="O8" s="647">
        <f t="shared" si="0"/>
        <v>13102077.780357698</v>
      </c>
      <c r="P8" s="647">
        <f t="shared" si="0"/>
        <v>0</v>
      </c>
      <c r="Q8" s="647">
        <f t="shared" si="0"/>
        <v>0</v>
      </c>
      <c r="R8" s="647">
        <f t="shared" si="0"/>
        <v>0</v>
      </c>
      <c r="S8" s="647">
        <f t="shared" si="0"/>
        <v>0</v>
      </c>
      <c r="T8" s="647">
        <f t="shared" si="0"/>
        <v>190841.02000000005</v>
      </c>
      <c r="U8" s="647">
        <f t="shared" si="0"/>
        <v>2368.9700000000003</v>
      </c>
      <c r="V8" s="647">
        <f t="shared" si="0"/>
        <v>0</v>
      </c>
      <c r="W8" s="647">
        <f t="shared" si="0"/>
        <v>0</v>
      </c>
      <c r="X8" s="647">
        <f t="shared" si="0"/>
        <v>0</v>
      </c>
      <c r="Y8" s="647">
        <f t="shared" si="0"/>
        <v>0</v>
      </c>
      <c r="Z8" s="647">
        <f t="shared" si="0"/>
        <v>0</v>
      </c>
      <c r="AA8" s="647">
        <f t="shared" si="0"/>
        <v>0</v>
      </c>
    </row>
    <row r="9" spans="1:28">
      <c r="A9" s="462">
        <v>1.1000000000000001</v>
      </c>
      <c r="B9" s="482" t="s">
        <v>475</v>
      </c>
      <c r="C9" s="482"/>
      <c r="D9" s="462"/>
      <c r="E9" s="462"/>
      <c r="F9" s="462"/>
      <c r="G9" s="462"/>
      <c r="H9" s="462"/>
      <c r="I9" s="462"/>
      <c r="J9" s="462"/>
      <c r="K9" s="462"/>
      <c r="L9" s="462"/>
      <c r="M9" s="462"/>
      <c r="N9" s="462"/>
      <c r="O9" s="462"/>
      <c r="P9" s="462"/>
      <c r="Q9" s="462"/>
      <c r="R9" s="462"/>
      <c r="S9" s="462"/>
      <c r="T9" s="462"/>
      <c r="U9" s="462"/>
      <c r="V9" s="462"/>
      <c r="W9" s="462"/>
      <c r="X9" s="462"/>
      <c r="Y9" s="462"/>
      <c r="Z9" s="462"/>
      <c r="AA9" s="462"/>
    </row>
    <row r="10" spans="1:28">
      <c r="A10" s="462">
        <v>1.2</v>
      </c>
      <c r="B10" s="482" t="s">
        <v>476</v>
      </c>
      <c r="C10" s="48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row>
    <row r="11" spans="1:28">
      <c r="A11" s="462">
        <v>1.3</v>
      </c>
      <c r="B11" s="482" t="s">
        <v>477</v>
      </c>
      <c r="C11" s="48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row>
    <row r="12" spans="1:28">
      <c r="A12" s="462">
        <v>1.4</v>
      </c>
      <c r="B12" s="482" t="s">
        <v>478</v>
      </c>
      <c r="C12" s="482"/>
      <c r="D12" s="645"/>
      <c r="E12" s="462"/>
      <c r="F12" s="462"/>
      <c r="G12" s="462"/>
      <c r="H12" s="462"/>
      <c r="I12" s="462"/>
      <c r="J12" s="462"/>
      <c r="K12" s="462"/>
      <c r="L12" s="462"/>
      <c r="M12" s="462"/>
      <c r="N12" s="462"/>
      <c r="O12" s="462"/>
      <c r="P12" s="462"/>
      <c r="Q12" s="462"/>
      <c r="R12" s="462"/>
      <c r="S12" s="462"/>
      <c r="T12" s="462"/>
      <c r="U12" s="462"/>
      <c r="V12" s="462"/>
      <c r="W12" s="462"/>
      <c r="X12" s="462"/>
      <c r="Y12" s="462"/>
      <c r="Z12" s="462"/>
      <c r="AA12" s="462"/>
    </row>
    <row r="13" spans="1:28">
      <c r="A13" s="462">
        <v>1.5</v>
      </c>
      <c r="B13" s="482" t="s">
        <v>479</v>
      </c>
      <c r="C13" s="655">
        <f>D13+H13+L13+T13</f>
        <v>106438774.66648771</v>
      </c>
      <c r="D13" s="645">
        <v>103927503.89868222</v>
      </c>
      <c r="E13" s="645"/>
      <c r="F13" s="462"/>
      <c r="G13" s="462"/>
      <c r="H13" s="645">
        <v>2423341.4988994766</v>
      </c>
      <c r="I13" s="645"/>
      <c r="J13" s="645">
        <v>1097978.10519695</v>
      </c>
      <c r="K13" s="645"/>
      <c r="L13" s="645">
        <v>86013.178906011803</v>
      </c>
      <c r="M13" s="462"/>
      <c r="N13" s="462"/>
      <c r="O13" s="645">
        <v>86013.178906011803</v>
      </c>
      <c r="P13" s="462"/>
      <c r="Q13" s="462"/>
      <c r="R13" s="462"/>
      <c r="S13" s="462"/>
      <c r="T13" s="645">
        <v>1916.09</v>
      </c>
      <c r="U13" s="645"/>
      <c r="V13" s="645"/>
      <c r="W13" s="462"/>
      <c r="X13" s="462"/>
      <c r="Y13" s="462"/>
      <c r="Z13" s="462"/>
      <c r="AA13" s="462"/>
    </row>
    <row r="14" spans="1:28">
      <c r="A14" s="462">
        <v>1.6</v>
      </c>
      <c r="B14" s="482" t="s">
        <v>480</v>
      </c>
      <c r="C14" s="655">
        <f>D14+H14+L14+T14</f>
        <v>1918661952.6536551</v>
      </c>
      <c r="D14" s="645">
        <v>1827305079.5232716</v>
      </c>
      <c r="E14" s="645">
        <v>6288686.3930748245</v>
      </c>
      <c r="F14" s="462"/>
      <c r="G14" s="462"/>
      <c r="H14" s="645">
        <v>71693826.298283786</v>
      </c>
      <c r="I14" s="645">
        <v>1385310.7034624992</v>
      </c>
      <c r="J14" s="645">
        <v>8956556.2307490967</v>
      </c>
      <c r="K14" s="645"/>
      <c r="L14" s="645">
        <v>19474121.902099516</v>
      </c>
      <c r="M14" s="645">
        <v>169504.4990875721</v>
      </c>
      <c r="N14" s="646">
        <v>678746.64364598342</v>
      </c>
      <c r="O14" s="646">
        <v>13016064.601451686</v>
      </c>
      <c r="P14" s="646"/>
      <c r="Q14" s="462"/>
      <c r="R14" s="462"/>
      <c r="S14" s="462"/>
      <c r="T14" s="645">
        <v>188924.93000000005</v>
      </c>
      <c r="U14" s="645">
        <v>2368.9700000000003</v>
      </c>
      <c r="V14" s="645"/>
      <c r="W14" s="462"/>
      <c r="X14" s="660"/>
      <c r="Y14" s="462"/>
      <c r="Z14" s="462"/>
      <c r="AA14" s="462"/>
    </row>
    <row r="15" spans="1:28">
      <c r="A15" s="491">
        <v>2</v>
      </c>
      <c r="B15" s="466" t="s">
        <v>481</v>
      </c>
      <c r="C15" s="656">
        <f t="shared" ref="C15:C20" si="1">D15+H15+L15+T15</f>
        <v>48888517.489999995</v>
      </c>
      <c r="D15" s="657">
        <f>SUM(D16:D21)</f>
        <v>48888517.489999995</v>
      </c>
      <c r="E15" s="657">
        <f t="shared" ref="E15:AA15" si="2">SUM(E16:E21)</f>
        <v>0</v>
      </c>
      <c r="F15" s="657">
        <f t="shared" si="2"/>
        <v>0</v>
      </c>
      <c r="G15" s="657">
        <f t="shared" si="2"/>
        <v>0</v>
      </c>
      <c r="H15" s="657">
        <f t="shared" si="2"/>
        <v>0</v>
      </c>
      <c r="I15" s="657">
        <f t="shared" si="2"/>
        <v>0</v>
      </c>
      <c r="J15" s="657">
        <f t="shared" si="2"/>
        <v>0</v>
      </c>
      <c r="K15" s="657">
        <f t="shared" si="2"/>
        <v>0</v>
      </c>
      <c r="L15" s="657">
        <f t="shared" si="2"/>
        <v>0</v>
      </c>
      <c r="M15" s="657">
        <f t="shared" si="2"/>
        <v>0</v>
      </c>
      <c r="N15" s="657">
        <f t="shared" si="2"/>
        <v>0</v>
      </c>
      <c r="O15" s="657">
        <f t="shared" si="2"/>
        <v>0</v>
      </c>
      <c r="P15" s="657">
        <f t="shared" si="2"/>
        <v>0</v>
      </c>
      <c r="Q15" s="657">
        <f t="shared" si="2"/>
        <v>0</v>
      </c>
      <c r="R15" s="657">
        <f t="shared" si="2"/>
        <v>0</v>
      </c>
      <c r="S15" s="657">
        <f t="shared" si="2"/>
        <v>0</v>
      </c>
      <c r="T15" s="657">
        <f t="shared" si="2"/>
        <v>0</v>
      </c>
      <c r="U15" s="657">
        <f t="shared" si="2"/>
        <v>0</v>
      </c>
      <c r="V15" s="657">
        <f t="shared" si="2"/>
        <v>0</v>
      </c>
      <c r="W15" s="657">
        <f t="shared" si="2"/>
        <v>0</v>
      </c>
      <c r="X15" s="657">
        <f t="shared" si="2"/>
        <v>0</v>
      </c>
      <c r="Y15" s="657">
        <f t="shared" si="2"/>
        <v>0</v>
      </c>
      <c r="Z15" s="657">
        <f t="shared" si="2"/>
        <v>0</v>
      </c>
      <c r="AA15" s="657">
        <f t="shared" si="2"/>
        <v>0</v>
      </c>
    </row>
    <row r="16" spans="1:28">
      <c r="A16" s="462">
        <v>2.1</v>
      </c>
      <c r="B16" s="482" t="s">
        <v>475</v>
      </c>
      <c r="C16" s="655">
        <f t="shared" si="1"/>
        <v>0</v>
      </c>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row>
    <row r="17" spans="1:27">
      <c r="A17" s="462">
        <v>2.2000000000000002</v>
      </c>
      <c r="B17" s="482" t="s">
        <v>476</v>
      </c>
      <c r="C17" s="655">
        <f t="shared" si="1"/>
        <v>22752192</v>
      </c>
      <c r="D17" s="645">
        <v>22752192</v>
      </c>
      <c r="E17" s="645"/>
      <c r="F17" s="645"/>
      <c r="G17" s="645"/>
      <c r="H17" s="645"/>
      <c r="I17" s="645"/>
      <c r="J17" s="645"/>
      <c r="K17" s="645"/>
      <c r="L17" s="645"/>
      <c r="M17" s="645"/>
      <c r="N17" s="645"/>
      <c r="O17" s="645"/>
      <c r="P17" s="645"/>
      <c r="Q17" s="645"/>
      <c r="R17" s="645"/>
      <c r="S17" s="645"/>
      <c r="T17" s="645"/>
      <c r="U17" s="645"/>
      <c r="V17" s="645"/>
      <c r="W17" s="645"/>
      <c r="X17" s="645"/>
      <c r="Y17" s="645"/>
      <c r="Z17" s="645"/>
      <c r="AA17" s="645"/>
    </row>
    <row r="18" spans="1:27">
      <c r="A18" s="462">
        <v>2.2999999999999998</v>
      </c>
      <c r="B18" s="482" t="s">
        <v>477</v>
      </c>
      <c r="C18" s="655">
        <f t="shared" si="1"/>
        <v>26136325.489999998</v>
      </c>
      <c r="D18" s="645">
        <v>26136325.489999998</v>
      </c>
      <c r="E18" s="645"/>
      <c r="F18" s="645"/>
      <c r="G18" s="645"/>
      <c r="H18" s="645"/>
      <c r="I18" s="645"/>
      <c r="J18" s="645"/>
      <c r="K18" s="645"/>
      <c r="L18" s="645"/>
      <c r="M18" s="645"/>
      <c r="N18" s="645"/>
      <c r="O18" s="645"/>
      <c r="P18" s="645"/>
      <c r="Q18" s="645"/>
      <c r="R18" s="645"/>
      <c r="S18" s="645"/>
      <c r="T18" s="645"/>
      <c r="U18" s="645"/>
      <c r="V18" s="645"/>
      <c r="W18" s="645"/>
      <c r="X18" s="645"/>
      <c r="Y18" s="645"/>
      <c r="Z18" s="645"/>
      <c r="AA18" s="645"/>
    </row>
    <row r="19" spans="1:27">
      <c r="A19" s="462">
        <v>2.4</v>
      </c>
      <c r="B19" s="482" t="s">
        <v>478</v>
      </c>
      <c r="C19" s="655">
        <f t="shared" si="1"/>
        <v>0</v>
      </c>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row>
    <row r="20" spans="1:27">
      <c r="A20" s="462">
        <v>2.5</v>
      </c>
      <c r="B20" s="482" t="s">
        <v>479</v>
      </c>
      <c r="C20" s="655">
        <f t="shared" si="1"/>
        <v>0</v>
      </c>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row>
    <row r="21" spans="1:27">
      <c r="A21" s="462">
        <v>2.6</v>
      </c>
      <c r="B21" s="482" t="s">
        <v>480</v>
      </c>
      <c r="C21" s="655">
        <f>D21+H21+L21+T21</f>
        <v>0</v>
      </c>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row>
    <row r="22" spans="1:27">
      <c r="A22" s="491">
        <v>3</v>
      </c>
      <c r="B22" s="466" t="s">
        <v>521</v>
      </c>
      <c r="C22" s="647">
        <f>C27+C28</f>
        <v>56199564</v>
      </c>
      <c r="D22" s="647"/>
      <c r="E22" s="490"/>
      <c r="F22" s="490"/>
      <c r="G22" s="490"/>
      <c r="H22" s="466"/>
      <c r="I22" s="490"/>
      <c r="J22" s="490"/>
      <c r="K22" s="490"/>
      <c r="L22" s="466"/>
      <c r="M22" s="490"/>
      <c r="N22" s="490"/>
      <c r="O22" s="490"/>
      <c r="P22" s="490"/>
      <c r="Q22" s="490"/>
      <c r="R22" s="490"/>
      <c r="S22" s="490"/>
      <c r="T22" s="466"/>
      <c r="U22" s="490"/>
      <c r="V22" s="490"/>
      <c r="W22" s="490"/>
      <c r="X22" s="490"/>
      <c r="Y22" s="490"/>
      <c r="Z22" s="490"/>
      <c r="AA22" s="490"/>
    </row>
    <row r="23" spans="1:27">
      <c r="A23" s="462">
        <v>3.1</v>
      </c>
      <c r="B23" s="482" t="s">
        <v>475</v>
      </c>
      <c r="C23" s="658"/>
      <c r="D23" s="647"/>
      <c r="E23" s="490"/>
      <c r="F23" s="490"/>
      <c r="G23" s="490"/>
      <c r="H23" s="466"/>
      <c r="I23" s="490"/>
      <c r="J23" s="490"/>
      <c r="K23" s="490"/>
      <c r="L23" s="466"/>
      <c r="M23" s="490"/>
      <c r="N23" s="490"/>
      <c r="O23" s="490"/>
      <c r="P23" s="490"/>
      <c r="Q23" s="490"/>
      <c r="R23" s="490"/>
      <c r="S23" s="490"/>
      <c r="T23" s="466"/>
      <c r="U23" s="490"/>
      <c r="V23" s="490"/>
      <c r="W23" s="490"/>
      <c r="X23" s="490"/>
      <c r="Y23" s="490"/>
      <c r="Z23" s="490"/>
      <c r="AA23" s="490"/>
    </row>
    <row r="24" spans="1:27">
      <c r="A24" s="462">
        <v>3.2</v>
      </c>
      <c r="B24" s="482" t="s">
        <v>476</v>
      </c>
      <c r="C24" s="658"/>
      <c r="D24" s="647"/>
      <c r="E24" s="490"/>
      <c r="F24" s="490"/>
      <c r="G24" s="490"/>
      <c r="H24" s="466"/>
      <c r="I24" s="490"/>
      <c r="J24" s="490"/>
      <c r="K24" s="490"/>
      <c r="L24" s="466"/>
      <c r="M24" s="490"/>
      <c r="N24" s="490"/>
      <c r="O24" s="490"/>
      <c r="P24" s="490"/>
      <c r="Q24" s="490"/>
      <c r="R24" s="490"/>
      <c r="S24" s="490"/>
      <c r="T24" s="466"/>
      <c r="U24" s="490"/>
      <c r="V24" s="490"/>
      <c r="W24" s="490"/>
      <c r="X24" s="490"/>
      <c r="Y24" s="490"/>
      <c r="Z24" s="490"/>
      <c r="AA24" s="490"/>
    </row>
    <row r="25" spans="1:27">
      <c r="A25" s="462">
        <v>3.3</v>
      </c>
      <c r="B25" s="482" t="s">
        <v>477</v>
      </c>
      <c r="C25" s="658"/>
      <c r="D25" s="647"/>
      <c r="E25" s="490"/>
      <c r="F25" s="490"/>
      <c r="G25" s="490"/>
      <c r="H25" s="466"/>
      <c r="I25" s="490"/>
      <c r="J25" s="490"/>
      <c r="K25" s="490"/>
      <c r="L25" s="466"/>
      <c r="M25" s="490"/>
      <c r="N25" s="490"/>
      <c r="O25" s="490"/>
      <c r="P25" s="490"/>
      <c r="Q25" s="490"/>
      <c r="R25" s="490"/>
      <c r="S25" s="490"/>
      <c r="T25" s="466"/>
      <c r="U25" s="490"/>
      <c r="V25" s="490"/>
      <c r="W25" s="490"/>
      <c r="X25" s="490"/>
      <c r="Y25" s="490"/>
      <c r="Z25" s="490"/>
      <c r="AA25" s="490"/>
    </row>
    <row r="26" spans="1:27">
      <c r="A26" s="462">
        <v>3.4</v>
      </c>
      <c r="B26" s="482" t="s">
        <v>478</v>
      </c>
      <c r="C26" s="658"/>
      <c r="D26" s="647"/>
      <c r="E26" s="490"/>
      <c r="F26" s="490"/>
      <c r="G26" s="490"/>
      <c r="H26" s="466"/>
      <c r="I26" s="490"/>
      <c r="J26" s="490"/>
      <c r="K26" s="490"/>
      <c r="L26" s="466"/>
      <c r="M26" s="490"/>
      <c r="N26" s="490"/>
      <c r="O26" s="490"/>
      <c r="P26" s="490"/>
      <c r="Q26" s="490"/>
      <c r="R26" s="490"/>
      <c r="S26" s="490"/>
      <c r="T26" s="466"/>
      <c r="U26" s="490"/>
      <c r="V26" s="490"/>
      <c r="W26" s="490"/>
      <c r="X26" s="490"/>
      <c r="Y26" s="490"/>
      <c r="Z26" s="490"/>
      <c r="AA26" s="490"/>
    </row>
    <row r="27" spans="1:27">
      <c r="A27" s="462">
        <v>3.5</v>
      </c>
      <c r="B27" s="482" t="s">
        <v>479</v>
      </c>
      <c r="C27" s="659">
        <f>D27</f>
        <v>3118400</v>
      </c>
      <c r="D27" s="645">
        <v>3118400</v>
      </c>
      <c r="E27" s="490"/>
      <c r="F27" s="490"/>
      <c r="G27" s="490"/>
      <c r="H27" s="466"/>
      <c r="I27" s="490"/>
      <c r="J27" s="490"/>
      <c r="K27" s="490"/>
      <c r="L27" s="466"/>
      <c r="M27" s="490"/>
      <c r="N27" s="490"/>
      <c r="O27" s="490"/>
      <c r="P27" s="490"/>
      <c r="Q27" s="490"/>
      <c r="R27" s="490"/>
      <c r="S27" s="490"/>
      <c r="T27" s="466"/>
      <c r="U27" s="490"/>
      <c r="V27" s="490"/>
      <c r="W27" s="490"/>
      <c r="X27" s="490"/>
      <c r="Y27" s="490"/>
      <c r="Z27" s="490"/>
      <c r="AA27" s="490"/>
    </row>
    <row r="28" spans="1:27">
      <c r="A28" s="462">
        <v>3.6</v>
      </c>
      <c r="B28" s="482" t="s">
        <v>480</v>
      </c>
      <c r="C28" s="659">
        <v>53081164</v>
      </c>
      <c r="D28" s="647"/>
      <c r="E28" s="490"/>
      <c r="F28" s="490"/>
      <c r="G28" s="490"/>
      <c r="H28" s="466"/>
      <c r="I28" s="490"/>
      <c r="J28" s="490"/>
      <c r="K28" s="490"/>
      <c r="L28" s="466"/>
      <c r="M28" s="490"/>
      <c r="N28" s="490"/>
      <c r="O28" s="490"/>
      <c r="P28" s="490"/>
      <c r="Q28" s="490"/>
      <c r="R28" s="490"/>
      <c r="S28" s="490"/>
      <c r="T28" s="466"/>
      <c r="U28" s="490"/>
      <c r="V28" s="490"/>
      <c r="W28" s="490"/>
      <c r="X28" s="490"/>
      <c r="Y28" s="490"/>
      <c r="Z28" s="490"/>
      <c r="AA28" s="490"/>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Normal="100" workbookViewId="0">
      <selection activeCell="T15" sqref="T15:U15"/>
    </sheetView>
  </sheetViews>
  <sheetFormatPr defaultColWidth="9.21875" defaultRowHeight="12"/>
  <cols>
    <col min="1" max="1" width="11.77734375" style="473" bestFit="1" customWidth="1"/>
    <col min="2" max="2" width="66.21875" style="473" customWidth="1"/>
    <col min="3" max="3" width="20.21875" style="473" customWidth="1"/>
    <col min="4" max="4" width="22.21875" style="473" customWidth="1"/>
    <col min="5" max="7" width="17.109375" style="473" customWidth="1"/>
    <col min="8" max="8" width="22.21875" style="473" customWidth="1"/>
    <col min="9" max="10" width="17.109375" style="473" customWidth="1"/>
    <col min="11" max="27" width="22.21875" style="473" customWidth="1"/>
    <col min="28" max="16384" width="9.21875" style="473"/>
  </cols>
  <sheetData>
    <row r="1" spans="1:27" ht="13.8">
      <c r="A1" s="373" t="s">
        <v>30</v>
      </c>
      <c r="B1" s="459" t="str">
        <f>'Info '!C2</f>
        <v>JSC "CREDOBANK"</v>
      </c>
    </row>
    <row r="2" spans="1:27">
      <c r="A2" s="373" t="s">
        <v>31</v>
      </c>
      <c r="B2" s="458">
        <f>'1. key ratios '!B2</f>
        <v>45291</v>
      </c>
    </row>
    <row r="3" spans="1:27">
      <c r="A3" s="374" t="s">
        <v>483</v>
      </c>
      <c r="C3" s="475"/>
    </row>
    <row r="4" spans="1:27" ht="12.6" thickBot="1">
      <c r="A4" s="374"/>
      <c r="B4" s="475"/>
      <c r="C4" s="475"/>
    </row>
    <row r="5" spans="1:27" ht="13.5" customHeight="1">
      <c r="A5" s="802" t="s">
        <v>691</v>
      </c>
      <c r="B5" s="803"/>
      <c r="C5" s="811" t="s">
        <v>690</v>
      </c>
      <c r="D5" s="812"/>
      <c r="E5" s="812"/>
      <c r="F5" s="812"/>
      <c r="G5" s="812"/>
      <c r="H5" s="812"/>
      <c r="I5" s="812"/>
      <c r="J5" s="812"/>
      <c r="K5" s="812"/>
      <c r="L5" s="812"/>
      <c r="M5" s="812"/>
      <c r="N5" s="812"/>
      <c r="O5" s="812"/>
      <c r="P5" s="812"/>
      <c r="Q5" s="812"/>
      <c r="R5" s="812"/>
      <c r="S5" s="813"/>
      <c r="T5" s="498"/>
      <c r="U5" s="498"/>
      <c r="V5" s="498"/>
      <c r="W5" s="498"/>
      <c r="X5" s="498"/>
      <c r="Y5" s="498"/>
      <c r="Z5" s="498"/>
      <c r="AA5" s="497"/>
    </row>
    <row r="6" spans="1:27" ht="12" customHeight="1">
      <c r="A6" s="804"/>
      <c r="B6" s="805"/>
      <c r="C6" s="808" t="s">
        <v>64</v>
      </c>
      <c r="D6" s="800" t="s">
        <v>687</v>
      </c>
      <c r="E6" s="800"/>
      <c r="F6" s="800"/>
      <c r="G6" s="800"/>
      <c r="H6" s="800" t="s">
        <v>686</v>
      </c>
      <c r="I6" s="800"/>
      <c r="J6" s="800"/>
      <c r="K6" s="800"/>
      <c r="L6" s="495"/>
      <c r="M6" s="801" t="s">
        <v>685</v>
      </c>
      <c r="N6" s="801"/>
      <c r="O6" s="801"/>
      <c r="P6" s="801"/>
      <c r="Q6" s="801"/>
      <c r="R6" s="801"/>
      <c r="S6" s="810"/>
      <c r="T6" s="498"/>
      <c r="U6" s="789" t="s">
        <v>684</v>
      </c>
      <c r="V6" s="789"/>
      <c r="W6" s="789"/>
      <c r="X6" s="789"/>
      <c r="Y6" s="789"/>
      <c r="Z6" s="789"/>
      <c r="AA6" s="782"/>
    </row>
    <row r="7" spans="1:27" ht="24">
      <c r="A7" s="806"/>
      <c r="B7" s="807"/>
      <c r="C7" s="809"/>
      <c r="D7" s="494"/>
      <c r="E7" s="470" t="s">
        <v>473</v>
      </c>
      <c r="F7" s="470" t="s">
        <v>682</v>
      </c>
      <c r="G7" s="472" t="s">
        <v>683</v>
      </c>
      <c r="H7" s="474"/>
      <c r="I7" s="470" t="s">
        <v>473</v>
      </c>
      <c r="J7" s="470" t="s">
        <v>682</v>
      </c>
      <c r="K7" s="472" t="s">
        <v>683</v>
      </c>
      <c r="L7" s="493"/>
      <c r="M7" s="470" t="s">
        <v>473</v>
      </c>
      <c r="N7" s="470" t="s">
        <v>682</v>
      </c>
      <c r="O7" s="470" t="s">
        <v>681</v>
      </c>
      <c r="P7" s="470" t="s">
        <v>680</v>
      </c>
      <c r="Q7" s="470" t="s">
        <v>679</v>
      </c>
      <c r="R7" s="470" t="s">
        <v>678</v>
      </c>
      <c r="S7" s="525" t="s">
        <v>677</v>
      </c>
      <c r="T7" s="524"/>
      <c r="U7" s="470" t="s">
        <v>473</v>
      </c>
      <c r="V7" s="470" t="s">
        <v>682</v>
      </c>
      <c r="W7" s="470" t="s">
        <v>681</v>
      </c>
      <c r="X7" s="470" t="s">
        <v>680</v>
      </c>
      <c r="Y7" s="470" t="s">
        <v>679</v>
      </c>
      <c r="Z7" s="470" t="s">
        <v>678</v>
      </c>
      <c r="AA7" s="470" t="s">
        <v>677</v>
      </c>
    </row>
    <row r="8" spans="1:27">
      <c r="A8" s="523">
        <v>1</v>
      </c>
      <c r="B8" s="522" t="s">
        <v>474</v>
      </c>
      <c r="C8" s="661">
        <f>D8+H8+L8+T8</f>
        <v>2025100727.3201425</v>
      </c>
      <c r="D8" s="645">
        <v>1931232583.4219537</v>
      </c>
      <c r="E8" s="645">
        <v>6288686.3930748245</v>
      </c>
      <c r="F8" s="645">
        <v>0</v>
      </c>
      <c r="G8" s="645">
        <v>0</v>
      </c>
      <c r="H8" s="645">
        <v>74117167.79718326</v>
      </c>
      <c r="I8" s="645">
        <v>1385310.7034624992</v>
      </c>
      <c r="J8" s="645">
        <v>10054534.335946046</v>
      </c>
      <c r="K8" s="645">
        <v>0</v>
      </c>
      <c r="L8" s="645">
        <v>19560135.081005529</v>
      </c>
      <c r="M8" s="645">
        <v>169504.4990875721</v>
      </c>
      <c r="N8" s="645">
        <v>678746.64364598342</v>
      </c>
      <c r="O8" s="645">
        <v>13102077.780357698</v>
      </c>
      <c r="P8" s="645">
        <v>0</v>
      </c>
      <c r="Q8" s="645">
        <v>0</v>
      </c>
      <c r="R8" s="645">
        <v>0</v>
      </c>
      <c r="S8" s="645">
        <v>0</v>
      </c>
      <c r="T8" s="645">
        <v>190841.02000000005</v>
      </c>
      <c r="U8" s="645">
        <v>2368.9700000000003</v>
      </c>
      <c r="V8" s="645"/>
      <c r="W8" s="645">
        <v>0</v>
      </c>
      <c r="X8" s="645">
        <v>0</v>
      </c>
      <c r="Y8" s="645">
        <v>0</v>
      </c>
      <c r="Z8" s="645">
        <v>0</v>
      </c>
      <c r="AA8" s="662">
        <v>0</v>
      </c>
    </row>
    <row r="9" spans="1:27" ht="13.8">
      <c r="A9" s="515">
        <v>1.1000000000000001</v>
      </c>
      <c r="B9" s="521" t="s">
        <v>484</v>
      </c>
      <c r="C9" s="663">
        <f>D9+H9+L9+T9</f>
        <v>927811637.34454131</v>
      </c>
      <c r="D9" s="664">
        <v>895133329.89490414</v>
      </c>
      <c r="E9" s="646">
        <v>2026599.7896989188</v>
      </c>
      <c r="F9" s="462"/>
      <c r="G9" s="462"/>
      <c r="H9" s="646">
        <v>27307463.90839646</v>
      </c>
      <c r="I9" s="646">
        <v>252804.07646423616</v>
      </c>
      <c r="J9" s="646">
        <v>3561049.2070199084</v>
      </c>
      <c r="K9" s="646"/>
      <c r="L9" s="646">
        <v>5225346.8012406575</v>
      </c>
      <c r="M9" s="646">
        <v>33578.719878437019</v>
      </c>
      <c r="N9" s="646">
        <v>241620.85529027577</v>
      </c>
      <c r="O9" s="646">
        <v>2776299.6602970269</v>
      </c>
      <c r="P9" s="646"/>
      <c r="Q9" s="462"/>
      <c r="R9" s="462"/>
      <c r="S9" s="462"/>
      <c r="T9" s="645">
        <v>145496.74000000002</v>
      </c>
      <c r="U9" s="645">
        <v>2368.9700000000003</v>
      </c>
      <c r="V9" s="645"/>
      <c r="W9" s="462"/>
      <c r="X9" s="462"/>
      <c r="Y9" s="462"/>
      <c r="Z9" s="462"/>
      <c r="AA9" s="503"/>
    </row>
    <row r="10" spans="1:27">
      <c r="A10" s="519" t="s">
        <v>14</v>
      </c>
      <c r="B10" s="520" t="s">
        <v>485</v>
      </c>
      <c r="C10" s="665">
        <f>SUM(C11:C14)</f>
        <v>586140262.64271593</v>
      </c>
      <c r="D10" s="666">
        <f t="shared" ref="D10:AA10" si="0">SUM(D11:D14)</f>
        <v>571397703.7885505</v>
      </c>
      <c r="E10" s="666">
        <f t="shared" si="0"/>
        <v>579471.93973765348</v>
      </c>
      <c r="F10" s="666">
        <f t="shared" si="0"/>
        <v>0</v>
      </c>
      <c r="G10" s="666">
        <f t="shared" si="0"/>
        <v>0</v>
      </c>
      <c r="H10" s="666">
        <f t="shared" si="0"/>
        <v>12323283.412746757</v>
      </c>
      <c r="I10" s="666">
        <f t="shared" si="0"/>
        <v>22794.494552688298</v>
      </c>
      <c r="J10" s="666">
        <f t="shared" si="0"/>
        <v>2105824.4657908808</v>
      </c>
      <c r="K10" s="666">
        <f t="shared" si="0"/>
        <v>0</v>
      </c>
      <c r="L10" s="666">
        <f t="shared" si="0"/>
        <v>2402184.5914187115</v>
      </c>
      <c r="M10" s="666">
        <f t="shared" si="0"/>
        <v>5573.7592246820705</v>
      </c>
      <c r="N10" s="666">
        <f t="shared" si="0"/>
        <v>140746.60985943541</v>
      </c>
      <c r="O10" s="666">
        <f t="shared" si="0"/>
        <v>2482226.1827687481</v>
      </c>
      <c r="P10" s="666">
        <f t="shared" si="0"/>
        <v>0</v>
      </c>
      <c r="Q10" s="666">
        <f t="shared" si="0"/>
        <v>0</v>
      </c>
      <c r="R10" s="666">
        <f t="shared" si="0"/>
        <v>0</v>
      </c>
      <c r="S10" s="665">
        <f t="shared" si="0"/>
        <v>0</v>
      </c>
      <c r="T10" s="665">
        <f t="shared" si="0"/>
        <v>17090.849999999999</v>
      </c>
      <c r="U10" s="666">
        <f t="shared" si="0"/>
        <v>1205.18</v>
      </c>
      <c r="V10" s="665"/>
      <c r="W10" s="665"/>
      <c r="X10" s="665">
        <f t="shared" si="0"/>
        <v>0</v>
      </c>
      <c r="Y10" s="665">
        <f t="shared" si="0"/>
        <v>0</v>
      </c>
      <c r="Z10" s="665">
        <f t="shared" si="0"/>
        <v>0</v>
      </c>
      <c r="AA10" s="665">
        <f t="shared" si="0"/>
        <v>0</v>
      </c>
    </row>
    <row r="11" spans="1:27" ht="14.4">
      <c r="A11" s="517" t="s">
        <v>486</v>
      </c>
      <c r="B11" s="518" t="s">
        <v>487</v>
      </c>
      <c r="C11" s="663">
        <f>D11+H11+L11+T11</f>
        <v>357904761.75961095</v>
      </c>
      <c r="D11" s="642">
        <v>349700398.64027625</v>
      </c>
      <c r="E11" s="642">
        <v>318168.6097396707</v>
      </c>
      <c r="F11" s="462"/>
      <c r="G11" s="462"/>
      <c r="H11" s="642">
        <v>6626936.7071646536</v>
      </c>
      <c r="I11" s="667"/>
      <c r="J11" s="668">
        <v>408869.11661113345</v>
      </c>
      <c r="K11" s="646"/>
      <c r="L11" s="668">
        <v>1560335.5621700441</v>
      </c>
      <c r="M11" s="667"/>
      <c r="N11" s="669">
        <v>140746.60985943541</v>
      </c>
      <c r="O11" s="646">
        <v>1660372.909975077</v>
      </c>
      <c r="P11" s="668"/>
      <c r="Q11" s="462"/>
      <c r="R11" s="462"/>
      <c r="S11" s="462"/>
      <c r="T11" s="670">
        <v>17090.849999999999</v>
      </c>
      <c r="U11" s="645">
        <v>1205.18</v>
      </c>
      <c r="V11" s="462"/>
      <c r="W11" s="462"/>
      <c r="X11" s="462"/>
      <c r="Y11" s="462"/>
      <c r="Z11" s="462"/>
      <c r="AA11" s="503"/>
    </row>
    <row r="12" spans="1:27" ht="14.4">
      <c r="A12" s="517" t="s">
        <v>488</v>
      </c>
      <c r="B12" s="518" t="s">
        <v>489</v>
      </c>
      <c r="C12" s="663">
        <f t="shared" ref="C12:C15" si="1">D12+H12+L12+T12</f>
        <v>118198849.40456364</v>
      </c>
      <c r="D12" s="642">
        <v>116956221.25414139</v>
      </c>
      <c r="E12" s="642">
        <v>261303.32999798277</v>
      </c>
      <c r="F12" s="462"/>
      <c r="G12" s="462"/>
      <c r="H12" s="642">
        <v>1230142.9460644915</v>
      </c>
      <c r="I12" s="671"/>
      <c r="J12" s="667">
        <v>142008.9173324974</v>
      </c>
      <c r="K12" s="646"/>
      <c r="L12" s="668">
        <v>12485.2043577611</v>
      </c>
      <c r="M12" s="462"/>
      <c r="N12" s="645"/>
      <c r="O12" s="646"/>
      <c r="P12" s="668"/>
      <c r="Q12" s="462"/>
      <c r="R12" s="462"/>
      <c r="S12" s="462"/>
      <c r="T12" s="462"/>
      <c r="U12" s="462"/>
      <c r="V12" s="462"/>
      <c r="W12" s="462"/>
      <c r="X12" s="462"/>
      <c r="Y12" s="462"/>
      <c r="Z12" s="462"/>
      <c r="AA12" s="503"/>
    </row>
    <row r="13" spans="1:27" ht="14.4">
      <c r="A13" s="517" t="s">
        <v>490</v>
      </c>
      <c r="B13" s="518" t="s">
        <v>491</v>
      </c>
      <c r="C13" s="663">
        <f t="shared" si="1"/>
        <v>54696362.12175782</v>
      </c>
      <c r="D13" s="642">
        <v>53267946.920752056</v>
      </c>
      <c r="E13" s="642"/>
      <c r="F13" s="462"/>
      <c r="G13" s="462"/>
      <c r="H13" s="642">
        <v>1256855.5847621758</v>
      </c>
      <c r="I13" s="672"/>
      <c r="J13" s="668">
        <v>50926.085132916902</v>
      </c>
      <c r="K13" s="646"/>
      <c r="L13" s="668">
        <v>171559.61624358408</v>
      </c>
      <c r="M13" s="462"/>
      <c r="N13" s="462"/>
      <c r="O13" s="646"/>
      <c r="P13" s="668"/>
      <c r="Q13" s="462"/>
      <c r="R13" s="462"/>
      <c r="S13" s="462"/>
      <c r="T13" s="462"/>
      <c r="U13" s="462"/>
      <c r="V13" s="462"/>
      <c r="W13" s="462"/>
      <c r="X13" s="462"/>
      <c r="Y13" s="462"/>
      <c r="Z13" s="462"/>
      <c r="AA13" s="503"/>
    </row>
    <row r="14" spans="1:27" ht="14.4">
      <c r="A14" s="517" t="s">
        <v>492</v>
      </c>
      <c r="B14" s="518" t="s">
        <v>493</v>
      </c>
      <c r="C14" s="663">
        <f t="shared" si="1"/>
        <v>55340289.356783591</v>
      </c>
      <c r="D14" s="642">
        <v>51473136.973380826</v>
      </c>
      <c r="E14" s="642"/>
      <c r="F14" s="462"/>
      <c r="G14" s="462"/>
      <c r="H14" s="642">
        <v>3209348.1747554364</v>
      </c>
      <c r="I14" s="671">
        <v>22794.494552688298</v>
      </c>
      <c r="J14" s="645">
        <v>1504020.3467143329</v>
      </c>
      <c r="K14" s="646"/>
      <c r="L14" s="668">
        <v>657804.20864732226</v>
      </c>
      <c r="M14" s="645">
        <v>5573.7592246820705</v>
      </c>
      <c r="N14" s="462"/>
      <c r="O14" s="646">
        <v>821853.27279367112</v>
      </c>
      <c r="P14" s="668"/>
      <c r="Q14" s="462"/>
      <c r="R14" s="462"/>
      <c r="S14" s="462"/>
      <c r="T14" s="462"/>
      <c r="U14" s="462"/>
      <c r="V14" s="462"/>
      <c r="W14" s="462"/>
      <c r="X14" s="462"/>
      <c r="Y14" s="462"/>
      <c r="Z14" s="462"/>
      <c r="AA14" s="503"/>
    </row>
    <row r="15" spans="1:27" ht="14.4">
      <c r="A15" s="516">
        <v>1.2</v>
      </c>
      <c r="B15" s="514" t="s">
        <v>689</v>
      </c>
      <c r="C15" s="663">
        <f t="shared" si="1"/>
        <v>12624310.766437935</v>
      </c>
      <c r="D15" s="667">
        <v>5034934.8956048889</v>
      </c>
      <c r="E15" s="668">
        <v>435849.6026422272</v>
      </c>
      <c r="F15" s="462"/>
      <c r="G15" s="462"/>
      <c r="H15" s="664">
        <v>3804879.3046171661</v>
      </c>
      <c r="I15" s="664">
        <v>68298.790946349298</v>
      </c>
      <c r="J15" s="664">
        <v>871034.73477134539</v>
      </c>
      <c r="K15" s="645"/>
      <c r="L15" s="664">
        <v>3782345.7069804929</v>
      </c>
      <c r="M15" s="645">
        <v>28161.839847668223</v>
      </c>
      <c r="N15" s="645">
        <v>169336.25688919265</v>
      </c>
      <c r="O15" s="646">
        <v>2018531.0277209694</v>
      </c>
      <c r="P15" s="646"/>
      <c r="Q15" s="462"/>
      <c r="R15" s="462"/>
      <c r="S15" s="462"/>
      <c r="T15" s="645">
        <v>2150.8592353879703</v>
      </c>
      <c r="U15" s="645">
        <v>653.93783028477606</v>
      </c>
      <c r="V15" s="645"/>
      <c r="W15" s="462"/>
      <c r="X15" s="462"/>
      <c r="Y15" s="462"/>
      <c r="Z15" s="462"/>
      <c r="AA15" s="503"/>
    </row>
    <row r="16" spans="1:27">
      <c r="A16" s="515">
        <v>1.3</v>
      </c>
      <c r="B16" s="514" t="s">
        <v>532</v>
      </c>
      <c r="C16" s="513"/>
      <c r="D16" s="513"/>
      <c r="E16" s="513"/>
      <c r="F16" s="513"/>
      <c r="G16" s="513"/>
      <c r="H16" s="513"/>
      <c r="I16" s="513"/>
      <c r="J16" s="513"/>
      <c r="K16" s="513"/>
      <c r="L16" s="513"/>
      <c r="M16" s="513"/>
      <c r="N16" s="513"/>
      <c r="O16" s="513"/>
      <c r="P16" s="513"/>
      <c r="Q16" s="513"/>
      <c r="R16" s="513"/>
      <c r="S16" s="513"/>
      <c r="T16" s="513"/>
      <c r="U16" s="512"/>
      <c r="V16" s="512"/>
      <c r="W16" s="512"/>
      <c r="X16" s="512"/>
      <c r="Y16" s="512"/>
      <c r="Z16" s="512"/>
      <c r="AA16" s="511"/>
    </row>
    <row r="17" spans="1:27">
      <c r="A17" s="508" t="s">
        <v>494</v>
      </c>
      <c r="B17" s="510" t="s">
        <v>495</v>
      </c>
      <c r="C17" s="673">
        <f>D17+H17+L17+T17</f>
        <v>910003681.40906751</v>
      </c>
      <c r="D17" s="646">
        <v>878535666.9494487</v>
      </c>
      <c r="E17" s="646">
        <v>1991656.5149591065</v>
      </c>
      <c r="F17" s="462"/>
      <c r="G17" s="462"/>
      <c r="H17" s="646">
        <v>26250211.289030373</v>
      </c>
      <c r="I17" s="646">
        <v>241643.73749045777</v>
      </c>
      <c r="J17" s="646">
        <v>3440320.8185824901</v>
      </c>
      <c r="K17" s="646"/>
      <c r="L17" s="646">
        <v>5072306.4305883218</v>
      </c>
      <c r="M17" s="646">
        <v>33578.719878437019</v>
      </c>
      <c r="N17" s="646">
        <v>232779.92560449478</v>
      </c>
      <c r="O17" s="649">
        <v>2693157.7552423403</v>
      </c>
      <c r="P17" s="646"/>
      <c r="Q17" s="462"/>
      <c r="R17" s="462"/>
      <c r="S17" s="462"/>
      <c r="T17" s="646">
        <v>145496.74</v>
      </c>
      <c r="U17" s="646">
        <v>2368.9700000000003</v>
      </c>
      <c r="V17" s="645"/>
      <c r="W17" s="462"/>
      <c r="X17" s="462"/>
      <c r="Y17" s="462"/>
      <c r="Z17" s="462"/>
      <c r="AA17" s="503"/>
    </row>
    <row r="18" spans="1:27">
      <c r="A18" s="506" t="s">
        <v>496</v>
      </c>
      <c r="B18" s="507" t="s">
        <v>497</v>
      </c>
      <c r="C18" s="673">
        <f t="shared" ref="C18:C22" si="2">D18+H18+L18+T18</f>
        <v>570884939.67821896</v>
      </c>
      <c r="D18" s="646">
        <v>557054969.85911345</v>
      </c>
      <c r="E18" s="646">
        <v>579471.93973765348</v>
      </c>
      <c r="F18" s="462">
        <v>0</v>
      </c>
      <c r="G18" s="462">
        <v>0</v>
      </c>
      <c r="H18" s="646">
        <v>11592195.457191322</v>
      </c>
      <c r="I18" s="646">
        <v>19642.904930866891</v>
      </c>
      <c r="J18" s="646">
        <v>1950999.4600835904</v>
      </c>
      <c r="K18" s="462"/>
      <c r="L18" s="646">
        <v>2220683.5119141471</v>
      </c>
      <c r="M18" s="645">
        <v>3750.9215592689698</v>
      </c>
      <c r="N18" s="645">
        <v>140746.60985943541</v>
      </c>
      <c r="O18" s="646">
        <v>1086370.0419025025</v>
      </c>
      <c r="P18" s="462"/>
      <c r="Q18" s="462">
        <v>0</v>
      </c>
      <c r="R18" s="462">
        <v>0</v>
      </c>
      <c r="S18" s="462">
        <v>0</v>
      </c>
      <c r="T18" s="645">
        <v>17090.849999999999</v>
      </c>
      <c r="U18" s="674">
        <v>1205.18</v>
      </c>
      <c r="V18" s="645"/>
      <c r="W18" s="462"/>
      <c r="X18" s="462">
        <v>0</v>
      </c>
      <c r="Y18" s="462">
        <v>0</v>
      </c>
      <c r="Z18" s="462">
        <v>0</v>
      </c>
      <c r="AA18" s="503">
        <v>0</v>
      </c>
    </row>
    <row r="19" spans="1:27">
      <c r="A19" s="508" t="s">
        <v>498</v>
      </c>
      <c r="B19" s="509" t="s">
        <v>499</v>
      </c>
      <c r="C19" s="673">
        <f t="shared" si="2"/>
        <v>1525905522.5010662</v>
      </c>
      <c r="D19" s="646">
        <v>1479929560.0623722</v>
      </c>
      <c r="E19" s="646">
        <v>2858762.3133362196</v>
      </c>
      <c r="F19" s="462"/>
      <c r="G19" s="462"/>
      <c r="H19" s="646">
        <v>37475490.303954221</v>
      </c>
      <c r="I19" s="646">
        <v>247115.83846663078</v>
      </c>
      <c r="J19" s="646">
        <v>5999974.1567884926</v>
      </c>
      <c r="K19" s="646"/>
      <c r="L19" s="646">
        <v>7096960.2347396649</v>
      </c>
      <c r="M19" s="646">
        <v>82518.211680831955</v>
      </c>
      <c r="N19" s="646">
        <v>442859.14535982604</v>
      </c>
      <c r="O19" s="646">
        <v>4720761.7786572361</v>
      </c>
      <c r="P19" s="646"/>
      <c r="Q19" s="462"/>
      <c r="R19" s="462"/>
      <c r="S19" s="462"/>
      <c r="T19" s="645">
        <v>1403511.9</v>
      </c>
      <c r="U19" s="645">
        <v>67262.706311795453</v>
      </c>
      <c r="V19" s="645"/>
      <c r="W19" s="462"/>
      <c r="X19" s="462"/>
      <c r="Y19" s="462"/>
      <c r="Z19" s="462"/>
      <c r="AA19" s="503"/>
    </row>
    <row r="20" spans="1:27">
      <c r="A20" s="506" t="s">
        <v>500</v>
      </c>
      <c r="B20" s="507" t="s">
        <v>497</v>
      </c>
      <c r="C20" s="673">
        <f t="shared" si="2"/>
        <v>652505032.95000005</v>
      </c>
      <c r="D20" s="646">
        <v>641843513</v>
      </c>
      <c r="E20" s="646">
        <v>608484</v>
      </c>
      <c r="F20" s="462"/>
      <c r="G20" s="462"/>
      <c r="H20" s="646">
        <v>8548397</v>
      </c>
      <c r="I20" s="646"/>
      <c r="J20" s="646">
        <v>551210</v>
      </c>
      <c r="K20" s="646"/>
      <c r="L20" s="646">
        <v>1990365</v>
      </c>
      <c r="M20" s="645"/>
      <c r="N20" s="645">
        <v>261257</v>
      </c>
      <c r="O20" s="646">
        <v>1238996</v>
      </c>
      <c r="P20" s="462"/>
      <c r="Q20" s="462"/>
      <c r="R20" s="462"/>
      <c r="S20" s="462"/>
      <c r="T20" s="645">
        <v>122757.94999999995</v>
      </c>
      <c r="U20" s="645">
        <v>5726.4963117954594</v>
      </c>
      <c r="V20" s="462"/>
      <c r="W20" s="462"/>
      <c r="X20" s="462"/>
      <c r="Y20" s="462"/>
      <c r="Z20" s="462"/>
      <c r="AA20" s="503"/>
    </row>
    <row r="21" spans="1:27">
      <c r="A21" s="505">
        <v>1.4</v>
      </c>
      <c r="B21" s="504" t="s">
        <v>501</v>
      </c>
      <c r="C21" s="673">
        <f t="shared" si="2"/>
        <v>87718.399999999994</v>
      </c>
      <c r="D21" s="646">
        <v>87718.399999999994</v>
      </c>
      <c r="E21" s="645"/>
      <c r="F21" s="462"/>
      <c r="G21" s="462"/>
      <c r="H21" s="645"/>
      <c r="I21" s="645"/>
      <c r="J21" s="645"/>
      <c r="K21" s="462"/>
      <c r="L21" s="645"/>
      <c r="M21" s="645"/>
      <c r="N21" s="645"/>
      <c r="O21" s="645"/>
      <c r="P21" s="645"/>
      <c r="Q21" s="462"/>
      <c r="R21" s="462"/>
      <c r="S21" s="462"/>
      <c r="T21" s="645"/>
      <c r="U21" s="645"/>
      <c r="V21" s="462"/>
      <c r="W21" s="462"/>
      <c r="X21" s="462"/>
      <c r="Y21" s="462"/>
      <c r="Z21" s="462"/>
      <c r="AA21" s="503"/>
    </row>
    <row r="22" spans="1:27" ht="12.6" thickBot="1">
      <c r="A22" s="502">
        <v>1.5</v>
      </c>
      <c r="B22" s="501" t="s">
        <v>502</v>
      </c>
      <c r="C22" s="673">
        <f t="shared" si="2"/>
        <v>0</v>
      </c>
      <c r="D22" s="675"/>
      <c r="E22" s="500"/>
      <c r="F22" s="500"/>
      <c r="G22" s="500"/>
      <c r="H22" s="500"/>
      <c r="I22" s="500"/>
      <c r="J22" s="500"/>
      <c r="K22" s="500"/>
      <c r="L22" s="500"/>
      <c r="M22" s="500"/>
      <c r="N22" s="500"/>
      <c r="O22" s="500"/>
      <c r="P22" s="500"/>
      <c r="Q22" s="500"/>
      <c r="R22" s="500"/>
      <c r="S22" s="500"/>
      <c r="T22" s="500"/>
      <c r="U22" s="500"/>
      <c r="V22" s="500"/>
      <c r="W22" s="500"/>
      <c r="X22" s="500"/>
      <c r="Y22" s="500"/>
      <c r="Z22" s="500"/>
      <c r="AA22" s="499"/>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A6" zoomScale="85" zoomScaleNormal="85" workbookViewId="0">
      <selection activeCell="I33" sqref="I33:L33"/>
    </sheetView>
  </sheetViews>
  <sheetFormatPr defaultColWidth="9.21875" defaultRowHeight="12"/>
  <cols>
    <col min="1" max="1" width="11.77734375" style="473" bestFit="1" customWidth="1"/>
    <col min="2" max="2" width="58.6640625" style="473" customWidth="1"/>
    <col min="3" max="3" width="14.6640625" style="473" customWidth="1"/>
    <col min="4" max="5" width="16.109375" style="473" customWidth="1"/>
    <col min="6" max="6" width="16.109375" style="492" customWidth="1"/>
    <col min="7" max="7" width="19.5546875" style="492" customWidth="1"/>
    <col min="8" max="8" width="16.109375" style="473" customWidth="1"/>
    <col min="9" max="11" width="16.109375" style="492" customWidth="1"/>
    <col min="12" max="12" width="19" style="492" customWidth="1"/>
    <col min="13" max="16384" width="9.21875" style="473"/>
  </cols>
  <sheetData>
    <row r="1" spans="1:12" ht="13.8">
      <c r="A1" s="373" t="s">
        <v>30</v>
      </c>
      <c r="B1" s="459" t="str">
        <f>'Info '!C2</f>
        <v>JSC "CREDOBANK"</v>
      </c>
      <c r="F1" s="473"/>
      <c r="G1" s="473"/>
      <c r="I1" s="473"/>
      <c r="J1" s="473"/>
      <c r="K1" s="473"/>
      <c r="L1" s="473"/>
    </row>
    <row r="2" spans="1:12">
      <c r="A2" s="373" t="s">
        <v>31</v>
      </c>
      <c r="B2" s="458">
        <f>'1. key ratios '!B2</f>
        <v>45291</v>
      </c>
      <c r="F2" s="473"/>
      <c r="G2" s="473"/>
      <c r="I2" s="473"/>
      <c r="J2" s="473"/>
      <c r="K2" s="473"/>
      <c r="L2" s="473"/>
    </row>
    <row r="3" spans="1:12">
      <c r="A3" s="374" t="s">
        <v>503</v>
      </c>
      <c r="F3" s="473"/>
      <c r="G3" s="473"/>
      <c r="I3" s="473"/>
      <c r="J3" s="473"/>
      <c r="K3" s="473"/>
      <c r="L3" s="473"/>
    </row>
    <row r="4" spans="1:12">
      <c r="F4" s="473"/>
      <c r="G4" s="473"/>
      <c r="I4" s="473"/>
      <c r="J4" s="473"/>
      <c r="K4" s="473"/>
      <c r="L4" s="473"/>
    </row>
    <row r="5" spans="1:12" ht="37.5" customHeight="1">
      <c r="A5" s="768" t="s">
        <v>520</v>
      </c>
      <c r="B5" s="769"/>
      <c r="C5" s="814" t="s">
        <v>504</v>
      </c>
      <c r="D5" s="815"/>
      <c r="E5" s="815"/>
      <c r="F5" s="815"/>
      <c r="G5" s="815"/>
      <c r="H5" s="814" t="s">
        <v>666</v>
      </c>
      <c r="I5" s="816"/>
      <c r="J5" s="816"/>
      <c r="K5" s="816"/>
      <c r="L5" s="817"/>
    </row>
    <row r="6" spans="1:12" ht="39.450000000000003" customHeight="1">
      <c r="A6" s="772"/>
      <c r="B6" s="773"/>
      <c r="C6" s="376"/>
      <c r="D6" s="471" t="s">
        <v>687</v>
      </c>
      <c r="E6" s="471" t="s">
        <v>686</v>
      </c>
      <c r="F6" s="471" t="s">
        <v>685</v>
      </c>
      <c r="G6" s="471" t="s">
        <v>684</v>
      </c>
      <c r="H6" s="493"/>
      <c r="I6" s="471" t="s">
        <v>687</v>
      </c>
      <c r="J6" s="471" t="s">
        <v>686</v>
      </c>
      <c r="K6" s="471" t="s">
        <v>685</v>
      </c>
      <c r="L6" s="471" t="s">
        <v>684</v>
      </c>
    </row>
    <row r="7" spans="1:12">
      <c r="A7" s="462">
        <v>1</v>
      </c>
      <c r="B7" s="477" t="s">
        <v>523</v>
      </c>
      <c r="C7" s="676">
        <f>SUM(D7:G7)</f>
        <v>37423668.055432811</v>
      </c>
      <c r="D7" s="645">
        <v>36535829.953308411</v>
      </c>
      <c r="E7" s="645">
        <v>708487.57676591142</v>
      </c>
      <c r="F7" s="645">
        <v>179350.52535849385</v>
      </c>
      <c r="G7" s="677"/>
      <c r="H7" s="645">
        <f>SUM(I7:L7)</f>
        <v>618804.69021759729</v>
      </c>
      <c r="I7" s="678">
        <v>353752.03974895721</v>
      </c>
      <c r="J7" s="678">
        <v>123859.89274120871</v>
      </c>
      <c r="K7" s="678">
        <v>141192.75772743134</v>
      </c>
      <c r="L7" s="678"/>
    </row>
    <row r="8" spans="1:12">
      <c r="A8" s="462">
        <v>2</v>
      </c>
      <c r="B8" s="477" t="s">
        <v>436</v>
      </c>
      <c r="C8" s="676">
        <f t="shared" ref="C8:C33" si="0">SUM(D8:G8)</f>
        <v>11753584.566188069</v>
      </c>
      <c r="D8" s="645">
        <v>11555104.976233687</v>
      </c>
      <c r="E8" s="645">
        <v>165990.99467817016</v>
      </c>
      <c r="F8" s="678">
        <v>32488.595276212465</v>
      </c>
      <c r="G8" s="678"/>
      <c r="H8" s="645">
        <f t="shared" ref="H8:H33" si="1">SUM(I8:L8)</f>
        <v>137028.25036065766</v>
      </c>
      <c r="I8" s="678">
        <v>85265.551481062561</v>
      </c>
      <c r="J8" s="678">
        <v>25008.027016187018</v>
      </c>
      <c r="K8" s="678">
        <v>26754.671863408097</v>
      </c>
      <c r="L8" s="678"/>
    </row>
    <row r="9" spans="1:12">
      <c r="A9" s="462">
        <v>3</v>
      </c>
      <c r="B9" s="477" t="s">
        <v>437</v>
      </c>
      <c r="C9" s="676">
        <f t="shared" si="0"/>
        <v>6585660.5587036554</v>
      </c>
      <c r="D9" s="645">
        <v>6082724.1046174606</v>
      </c>
      <c r="E9" s="645">
        <v>419756.64325854107</v>
      </c>
      <c r="F9" s="679">
        <v>83179.810827654292</v>
      </c>
      <c r="G9" s="679"/>
      <c r="H9" s="645">
        <f t="shared" si="1"/>
        <v>206995.26160307712</v>
      </c>
      <c r="I9" s="679">
        <v>56258.775503273384</v>
      </c>
      <c r="J9" s="679">
        <v>82214.757059222306</v>
      </c>
      <c r="K9" s="679">
        <v>68521.729040581442</v>
      </c>
      <c r="L9" s="679"/>
    </row>
    <row r="10" spans="1:12">
      <c r="A10" s="462">
        <v>4</v>
      </c>
      <c r="B10" s="477" t="s">
        <v>524</v>
      </c>
      <c r="C10" s="676">
        <f t="shared" si="0"/>
        <v>11894168.914391153</v>
      </c>
      <c r="D10" s="645">
        <v>11888602.590556081</v>
      </c>
      <c r="E10" s="645">
        <v>5566.3238350711999</v>
      </c>
      <c r="F10" s="679"/>
      <c r="G10" s="679"/>
      <c r="H10" s="645">
        <f t="shared" si="1"/>
        <v>33502.016335843873</v>
      </c>
      <c r="I10" s="679">
        <v>32494.092061464718</v>
      </c>
      <c r="J10" s="679">
        <v>1007.924274379151</v>
      </c>
      <c r="K10" s="679"/>
      <c r="L10" s="679"/>
    </row>
    <row r="11" spans="1:12">
      <c r="A11" s="462">
        <v>5</v>
      </c>
      <c r="B11" s="477" t="s">
        <v>438</v>
      </c>
      <c r="C11" s="676">
        <f t="shared" si="0"/>
        <v>34833204.537081107</v>
      </c>
      <c r="D11" s="645">
        <v>34577197.658160768</v>
      </c>
      <c r="E11" s="645">
        <v>242485.92018692975</v>
      </c>
      <c r="F11" s="679">
        <v>13520.958733412901</v>
      </c>
      <c r="G11" s="679"/>
      <c r="H11" s="645">
        <f t="shared" si="1"/>
        <v>169495.58301145461</v>
      </c>
      <c r="I11" s="679">
        <v>128414.82926131267</v>
      </c>
      <c r="J11" s="679">
        <v>30971.782809853739</v>
      </c>
      <c r="K11" s="679">
        <v>10108.9709402882</v>
      </c>
      <c r="L11" s="679"/>
    </row>
    <row r="12" spans="1:12">
      <c r="A12" s="462">
        <v>6</v>
      </c>
      <c r="B12" s="477" t="s">
        <v>439</v>
      </c>
      <c r="C12" s="676">
        <f t="shared" si="0"/>
        <v>9431336.4429014996</v>
      </c>
      <c r="D12" s="645">
        <v>8965791.1863204502</v>
      </c>
      <c r="E12" s="645">
        <v>389014.02100632922</v>
      </c>
      <c r="F12" s="679">
        <v>76531.235574721301</v>
      </c>
      <c r="G12" s="679"/>
      <c r="H12" s="645">
        <f t="shared" si="1"/>
        <v>160715.97671847732</v>
      </c>
      <c r="I12" s="679">
        <v>56155.130593720023</v>
      </c>
      <c r="J12" s="679">
        <v>41441.540212344051</v>
      </c>
      <c r="K12" s="679">
        <v>63119.305912413263</v>
      </c>
      <c r="L12" s="679"/>
    </row>
    <row r="13" spans="1:12">
      <c r="A13" s="462">
        <v>7</v>
      </c>
      <c r="B13" s="477" t="s">
        <v>440</v>
      </c>
      <c r="C13" s="676">
        <f t="shared" si="0"/>
        <v>3645984.5683325119</v>
      </c>
      <c r="D13" s="645">
        <v>3387862.877781007</v>
      </c>
      <c r="E13" s="645">
        <v>224219.63381383094</v>
      </c>
      <c r="F13" s="679">
        <v>33902.056737673942</v>
      </c>
      <c r="G13" s="679"/>
      <c r="H13" s="645">
        <f t="shared" si="1"/>
        <v>90108.56354516698</v>
      </c>
      <c r="I13" s="679">
        <v>30030.333113867549</v>
      </c>
      <c r="J13" s="679">
        <v>31867.360553015111</v>
      </c>
      <c r="K13" s="679">
        <v>28210.869878284313</v>
      </c>
      <c r="L13" s="679"/>
    </row>
    <row r="14" spans="1:12">
      <c r="A14" s="462">
        <v>8</v>
      </c>
      <c r="B14" s="477" t="s">
        <v>441</v>
      </c>
      <c r="C14" s="676">
        <f t="shared" si="0"/>
        <v>146761101.77815965</v>
      </c>
      <c r="D14" s="645">
        <v>139516755.48711106</v>
      </c>
      <c r="E14" s="645">
        <v>5907999.2421080414</v>
      </c>
      <c r="F14" s="679">
        <v>1308430.3689405434</v>
      </c>
      <c r="G14" s="679">
        <v>27916.68</v>
      </c>
      <c r="H14" s="645">
        <f t="shared" si="1"/>
        <v>3166248.3053734596</v>
      </c>
      <c r="I14" s="679">
        <v>1142807.4501440797</v>
      </c>
      <c r="J14" s="679">
        <v>957965.82353122835</v>
      </c>
      <c r="K14" s="679">
        <v>1065165.6479268374</v>
      </c>
      <c r="L14" s="679">
        <v>309.38377131363541</v>
      </c>
    </row>
    <row r="15" spans="1:12">
      <c r="A15" s="462">
        <v>9</v>
      </c>
      <c r="B15" s="477" t="s">
        <v>442</v>
      </c>
      <c r="C15" s="676">
        <f t="shared" si="0"/>
        <v>29125961.460581578</v>
      </c>
      <c r="D15" s="645">
        <v>28036606.433123626</v>
      </c>
      <c r="E15" s="645">
        <v>759525.68806193012</v>
      </c>
      <c r="F15" s="679">
        <v>328935.25939602591</v>
      </c>
      <c r="G15" s="679">
        <v>894.08</v>
      </c>
      <c r="H15" s="645">
        <f t="shared" si="1"/>
        <v>629022.71151959931</v>
      </c>
      <c r="I15" s="679">
        <v>234416.86816000973</v>
      </c>
      <c r="J15" s="679">
        <v>129524.11860376835</v>
      </c>
      <c r="K15" s="679">
        <v>265070.88347277371</v>
      </c>
      <c r="L15" s="679">
        <v>10.841283047418701</v>
      </c>
    </row>
    <row r="16" spans="1:12">
      <c r="A16" s="462">
        <v>10</v>
      </c>
      <c r="B16" s="477" t="s">
        <v>443</v>
      </c>
      <c r="C16" s="676">
        <f t="shared" si="0"/>
        <v>13871013.65206565</v>
      </c>
      <c r="D16" s="645">
        <v>13099930.653479451</v>
      </c>
      <c r="E16" s="645">
        <v>418768.01842763816</v>
      </c>
      <c r="F16" s="679">
        <v>352314.98015856021</v>
      </c>
      <c r="G16" s="679"/>
      <c r="H16" s="645">
        <f t="shared" si="1"/>
        <v>413488.0066342752</v>
      </c>
      <c r="I16" s="679">
        <v>91901.994535452657</v>
      </c>
      <c r="J16" s="679">
        <v>66293.188991261093</v>
      </c>
      <c r="K16" s="679">
        <v>255292.82310756147</v>
      </c>
      <c r="L16" s="679"/>
    </row>
    <row r="17" spans="1:12">
      <c r="A17" s="462">
        <v>11</v>
      </c>
      <c r="B17" s="477" t="s">
        <v>444</v>
      </c>
      <c r="C17" s="676">
        <f t="shared" si="0"/>
        <v>6954963.5058496716</v>
      </c>
      <c r="D17" s="645">
        <v>6461220.0243927175</v>
      </c>
      <c r="E17" s="645">
        <v>308530.53731192689</v>
      </c>
      <c r="F17" s="679">
        <v>168672.00414502688</v>
      </c>
      <c r="G17" s="679">
        <v>16540.939999999999</v>
      </c>
      <c r="H17" s="645">
        <f t="shared" si="1"/>
        <v>240484.1564612003</v>
      </c>
      <c r="I17" s="679">
        <v>65207.491491950743</v>
      </c>
      <c r="J17" s="679">
        <v>51248.505833319236</v>
      </c>
      <c r="K17" s="679">
        <v>123844.84584802242</v>
      </c>
      <c r="L17" s="679">
        <v>183.31328790789399</v>
      </c>
    </row>
    <row r="18" spans="1:12">
      <c r="A18" s="462">
        <v>12</v>
      </c>
      <c r="B18" s="477" t="s">
        <v>445</v>
      </c>
      <c r="C18" s="676">
        <f t="shared" si="0"/>
        <v>116320922.1223672</v>
      </c>
      <c r="D18" s="645">
        <v>111077761.10518189</v>
      </c>
      <c r="E18" s="645">
        <v>4533326.9298564196</v>
      </c>
      <c r="F18" s="679">
        <v>691182.57732889359</v>
      </c>
      <c r="G18" s="679">
        <v>18651.509999999998</v>
      </c>
      <c r="H18" s="645">
        <f t="shared" si="1"/>
        <v>1983013.9702558981</v>
      </c>
      <c r="I18" s="679">
        <v>782879.09934061288</v>
      </c>
      <c r="J18" s="679">
        <v>638332.29096821789</v>
      </c>
      <c r="K18" s="679">
        <v>561595.87648145098</v>
      </c>
      <c r="L18" s="679">
        <v>206.70346561603901</v>
      </c>
    </row>
    <row r="19" spans="1:12">
      <c r="A19" s="462">
        <v>13</v>
      </c>
      <c r="B19" s="477" t="s">
        <v>446</v>
      </c>
      <c r="C19" s="676">
        <f t="shared" si="0"/>
        <v>15985032.690308541</v>
      </c>
      <c r="D19" s="645">
        <v>15374379.664075291</v>
      </c>
      <c r="E19" s="645">
        <v>477469.69310374267</v>
      </c>
      <c r="F19" s="679">
        <v>133183.33312950912</v>
      </c>
      <c r="G19" s="679"/>
      <c r="H19" s="645">
        <f t="shared" si="1"/>
        <v>301187.72414538392</v>
      </c>
      <c r="I19" s="679">
        <v>114588.42378098567</v>
      </c>
      <c r="J19" s="679">
        <v>75478.012284409284</v>
      </c>
      <c r="K19" s="679">
        <v>111121.28807998898</v>
      </c>
      <c r="L19" s="679"/>
    </row>
    <row r="20" spans="1:12">
      <c r="A20" s="462">
        <v>14</v>
      </c>
      <c r="B20" s="477" t="s">
        <v>447</v>
      </c>
      <c r="C20" s="676">
        <f t="shared" si="0"/>
        <v>53215137.142923243</v>
      </c>
      <c r="D20" s="645">
        <v>49514696.687014423</v>
      </c>
      <c r="E20" s="645">
        <v>3561601.2873137482</v>
      </c>
      <c r="F20" s="679">
        <v>138839.16859506819</v>
      </c>
      <c r="G20" s="679"/>
      <c r="H20" s="645">
        <f t="shared" si="1"/>
        <v>670839.41720272216</v>
      </c>
      <c r="I20" s="679">
        <v>215912.01815568545</v>
      </c>
      <c r="J20" s="679">
        <v>343034.42503199575</v>
      </c>
      <c r="K20" s="679">
        <v>111892.97401504086</v>
      </c>
      <c r="L20" s="679"/>
    </row>
    <row r="21" spans="1:12">
      <c r="A21" s="462">
        <v>15</v>
      </c>
      <c r="B21" s="477" t="s">
        <v>448</v>
      </c>
      <c r="C21" s="676">
        <f t="shared" si="0"/>
        <v>34215596.940627925</v>
      </c>
      <c r="D21" s="645">
        <v>29763752.791021764</v>
      </c>
      <c r="E21" s="645">
        <v>3733743.5094287856</v>
      </c>
      <c r="F21" s="679">
        <v>698772.81017737905</v>
      </c>
      <c r="G21" s="679">
        <v>19327.830000000002</v>
      </c>
      <c r="H21" s="645">
        <f t="shared" si="1"/>
        <v>1147653.0105670218</v>
      </c>
      <c r="I21" s="679">
        <v>259256.2783882801</v>
      </c>
      <c r="J21" s="679">
        <v>415852.77580526209</v>
      </c>
      <c r="K21" s="679">
        <v>469967.25156860787</v>
      </c>
      <c r="L21" s="679">
        <v>2576.7048048715851</v>
      </c>
    </row>
    <row r="22" spans="1:12">
      <c r="A22" s="462">
        <v>16</v>
      </c>
      <c r="B22" s="477" t="s">
        <v>449</v>
      </c>
      <c r="C22" s="676">
        <f t="shared" si="0"/>
        <v>10161961.286993919</v>
      </c>
      <c r="D22" s="645">
        <v>9759668.0757605471</v>
      </c>
      <c r="E22" s="645">
        <v>340366.5765674914</v>
      </c>
      <c r="F22" s="679">
        <v>61926.634665880767</v>
      </c>
      <c r="G22" s="679"/>
      <c r="H22" s="645">
        <f t="shared" si="1"/>
        <v>182610.65083188986</v>
      </c>
      <c r="I22" s="679">
        <v>82711.713571421293</v>
      </c>
      <c r="J22" s="679">
        <v>48752.720978554229</v>
      </c>
      <c r="K22" s="679">
        <v>51146.216281914327</v>
      </c>
      <c r="L22" s="679"/>
    </row>
    <row r="23" spans="1:12">
      <c r="A23" s="462">
        <v>17</v>
      </c>
      <c r="B23" s="477" t="s">
        <v>527</v>
      </c>
      <c r="C23" s="676">
        <f t="shared" si="0"/>
        <v>801302.74898465676</v>
      </c>
      <c r="D23" s="645">
        <v>766874.57533870032</v>
      </c>
      <c r="E23" s="645">
        <v>28112.853645956438</v>
      </c>
      <c r="F23" s="679">
        <v>6315.32</v>
      </c>
      <c r="G23" s="679"/>
      <c r="H23" s="645">
        <f t="shared" si="1"/>
        <v>16976.104403215264</v>
      </c>
      <c r="I23" s="679">
        <v>7810.0258146941887</v>
      </c>
      <c r="J23" s="679">
        <v>3965.5783706381389</v>
      </c>
      <c r="K23" s="679">
        <v>5200.5002178829345</v>
      </c>
      <c r="L23" s="679"/>
    </row>
    <row r="24" spans="1:12">
      <c r="A24" s="462">
        <v>18</v>
      </c>
      <c r="B24" s="477" t="s">
        <v>450</v>
      </c>
      <c r="C24" s="676">
        <f t="shared" si="0"/>
        <v>3178955.3627264649</v>
      </c>
      <c r="D24" s="645">
        <v>3004548.2784171654</v>
      </c>
      <c r="E24" s="645">
        <v>153512.22403080895</v>
      </c>
      <c r="F24" s="679">
        <v>20894.86027849036</v>
      </c>
      <c r="G24" s="679"/>
      <c r="H24" s="645">
        <f t="shared" si="1"/>
        <v>67850.644982854094</v>
      </c>
      <c r="I24" s="679">
        <v>32509.71289025477</v>
      </c>
      <c r="J24" s="679">
        <v>18043.666822039664</v>
      </c>
      <c r="K24" s="679">
        <v>17297.265270559659</v>
      </c>
      <c r="L24" s="679"/>
    </row>
    <row r="25" spans="1:12">
      <c r="A25" s="462">
        <v>19</v>
      </c>
      <c r="B25" s="477" t="s">
        <v>451</v>
      </c>
      <c r="C25" s="676">
        <f t="shared" si="0"/>
        <v>5306286.8613201547</v>
      </c>
      <c r="D25" s="645">
        <v>5209088.2400490548</v>
      </c>
      <c r="E25" s="645">
        <v>79372.978890005688</v>
      </c>
      <c r="F25" s="679">
        <v>17825.64238109456</v>
      </c>
      <c r="G25" s="679"/>
      <c r="H25" s="645">
        <f t="shared" si="1"/>
        <v>67265.15152396365</v>
      </c>
      <c r="I25" s="679">
        <v>39449.83699963244</v>
      </c>
      <c r="J25" s="679">
        <v>12865.125732523924</v>
      </c>
      <c r="K25" s="679">
        <v>14950.188791807292</v>
      </c>
      <c r="L25" s="679"/>
    </row>
    <row r="26" spans="1:12">
      <c r="A26" s="462">
        <v>20</v>
      </c>
      <c r="B26" s="477" t="s">
        <v>526</v>
      </c>
      <c r="C26" s="676">
        <f t="shared" si="0"/>
        <v>15460148.013756642</v>
      </c>
      <c r="D26" s="645">
        <v>15225552.741471842</v>
      </c>
      <c r="E26" s="645">
        <v>204780.51110994158</v>
      </c>
      <c r="F26" s="679">
        <v>24057.831174858849</v>
      </c>
      <c r="G26" s="679">
        <v>5756.93</v>
      </c>
      <c r="H26" s="645">
        <f t="shared" si="1"/>
        <v>165763.78223678234</v>
      </c>
      <c r="I26" s="679">
        <v>115357.53748198802</v>
      </c>
      <c r="J26" s="679">
        <v>30392.858444689962</v>
      </c>
      <c r="K26" s="679">
        <v>19949.585717964161</v>
      </c>
      <c r="L26" s="679">
        <v>63.8005921402045</v>
      </c>
    </row>
    <row r="27" spans="1:12">
      <c r="A27" s="462">
        <v>21</v>
      </c>
      <c r="B27" s="477" t="s">
        <v>452</v>
      </c>
      <c r="C27" s="676">
        <f t="shared" si="0"/>
        <v>1902827.1315406507</v>
      </c>
      <c r="D27" s="645">
        <v>1864416.4566247845</v>
      </c>
      <c r="E27" s="645">
        <v>8567.0865464157105</v>
      </c>
      <c r="F27" s="679">
        <v>29843.588369450586</v>
      </c>
      <c r="G27" s="679"/>
      <c r="H27" s="645">
        <f t="shared" si="1"/>
        <v>41474.708486499374</v>
      </c>
      <c r="I27" s="679">
        <v>15518.224566789266</v>
      </c>
      <c r="J27" s="679">
        <v>1078.5139733765659</v>
      </c>
      <c r="K27" s="679">
        <v>24877.969946333542</v>
      </c>
      <c r="L27" s="679"/>
    </row>
    <row r="28" spans="1:12">
      <c r="A28" s="462">
        <v>22</v>
      </c>
      <c r="B28" s="477" t="s">
        <v>453</v>
      </c>
      <c r="C28" s="676">
        <f t="shared" si="0"/>
        <v>778098.77706967213</v>
      </c>
      <c r="D28" s="645">
        <v>752688.93234081403</v>
      </c>
      <c r="E28" s="645">
        <v>15293.68935270419</v>
      </c>
      <c r="F28" s="679">
        <v>10116.155376153871</v>
      </c>
      <c r="G28" s="679"/>
      <c r="H28" s="645">
        <f t="shared" si="1"/>
        <v>17670.675171271534</v>
      </c>
      <c r="I28" s="679">
        <v>7679.9320902139825</v>
      </c>
      <c r="J28" s="679">
        <v>1660.1966935971632</v>
      </c>
      <c r="K28" s="679">
        <v>8330.5463874603902</v>
      </c>
      <c r="L28" s="679"/>
    </row>
    <row r="29" spans="1:12">
      <c r="A29" s="462">
        <v>23</v>
      </c>
      <c r="B29" s="477" t="s">
        <v>454</v>
      </c>
      <c r="C29" s="676">
        <f t="shared" si="0"/>
        <v>459588778.11373132</v>
      </c>
      <c r="D29" s="645">
        <v>437641109.40917873</v>
      </c>
      <c r="E29" s="645">
        <v>16483661.51160928</v>
      </c>
      <c r="F29" s="679">
        <v>5439286.642943318</v>
      </c>
      <c r="G29" s="679">
        <v>24720.55</v>
      </c>
      <c r="H29" s="645">
        <f t="shared" si="1"/>
        <v>11095869.47820952</v>
      </c>
      <c r="I29" s="679">
        <v>3891213.1417168621</v>
      </c>
      <c r="J29" s="679">
        <v>2910322.8349142317</v>
      </c>
      <c r="K29" s="679">
        <v>4293836.6984411534</v>
      </c>
      <c r="L29" s="679">
        <v>496.80313727298102</v>
      </c>
    </row>
    <row r="30" spans="1:12">
      <c r="A30" s="462">
        <v>24</v>
      </c>
      <c r="B30" s="477" t="s">
        <v>525</v>
      </c>
      <c r="C30" s="676">
        <f t="shared" si="0"/>
        <v>783283333.44041038</v>
      </c>
      <c r="D30" s="645">
        <v>746132545.32751453</v>
      </c>
      <c r="E30" s="645">
        <v>28886549.712269694</v>
      </c>
      <c r="F30" s="679">
        <v>8214696.5106262313</v>
      </c>
      <c r="G30" s="679">
        <v>49541.89</v>
      </c>
      <c r="H30" s="645">
        <f t="shared" si="1"/>
        <v>17841669.755291987</v>
      </c>
      <c r="I30" s="679">
        <v>6432248.4690231876</v>
      </c>
      <c r="J30" s="679">
        <v>4755251.7888615848</v>
      </c>
      <c r="K30" s="679">
        <v>6653541.2406952977</v>
      </c>
      <c r="L30" s="679">
        <v>628.25671191861625</v>
      </c>
    </row>
    <row r="31" spans="1:12">
      <c r="A31" s="462">
        <v>25</v>
      </c>
      <c r="B31" s="477" t="s">
        <v>455</v>
      </c>
      <c r="C31" s="676">
        <f t="shared" si="0"/>
        <v>152207138.26889604</v>
      </c>
      <c r="D31" s="645">
        <v>147072182.58237687</v>
      </c>
      <c r="E31" s="645">
        <v>4007651.196862434</v>
      </c>
      <c r="F31" s="679">
        <v>1108452.3196567527</v>
      </c>
      <c r="G31" s="679">
        <v>18852.169999999998</v>
      </c>
      <c r="H31" s="645">
        <f t="shared" si="1"/>
        <v>2785625.6459318036</v>
      </c>
      <c r="I31" s="679">
        <v>1186208.8188299746</v>
      </c>
      <c r="J31" s="679">
        <v>688975.88741521281</v>
      </c>
      <c r="K31" s="679">
        <v>910232.50174854149</v>
      </c>
      <c r="L31" s="679">
        <v>208.43793807474924</v>
      </c>
    </row>
    <row r="32" spans="1:12">
      <c r="A32" s="462">
        <v>26</v>
      </c>
      <c r="B32" s="477" t="s">
        <v>522</v>
      </c>
      <c r="C32" s="676">
        <f t="shared" si="0"/>
        <v>60414560.378902994</v>
      </c>
      <c r="D32" s="645">
        <v>57965692.61060708</v>
      </c>
      <c r="E32" s="645">
        <v>2052813.4371417679</v>
      </c>
      <c r="F32" s="679">
        <v>387415.8911541478</v>
      </c>
      <c r="G32" s="679">
        <v>8638.44</v>
      </c>
      <c r="H32" s="645">
        <f t="shared" si="1"/>
        <v>1278382.6114659254</v>
      </c>
      <c r="I32" s="679">
        <v>625456.91370828717</v>
      </c>
      <c r="J32" s="679">
        <v>331344.64357993944</v>
      </c>
      <c r="K32" s="679">
        <v>321485.31954358512</v>
      </c>
      <c r="L32" s="679">
        <v>95.734634113603704</v>
      </c>
    </row>
    <row r="33" spans="1:12">
      <c r="A33" s="462">
        <v>27</v>
      </c>
      <c r="B33" s="527" t="s">
        <v>64</v>
      </c>
      <c r="C33" s="680">
        <f t="shared" si="0"/>
        <v>2025100727.3202477</v>
      </c>
      <c r="D33" s="657">
        <f>SUM(D7:D32)</f>
        <v>1931232583.4220586</v>
      </c>
      <c r="E33" s="657">
        <f t="shared" ref="E33:G33" si="2">SUM(E7:E32)</f>
        <v>74117167.797183499</v>
      </c>
      <c r="F33" s="657">
        <f t="shared" si="2"/>
        <v>19560135.081005551</v>
      </c>
      <c r="G33" s="657">
        <f t="shared" si="2"/>
        <v>190841.02000000002</v>
      </c>
      <c r="H33" s="647">
        <f t="shared" si="1"/>
        <v>43529746.852487549</v>
      </c>
      <c r="I33" s="657">
        <f t="shared" ref="I33:L33" si="3">SUM(I7:I32)</f>
        <v>16085504.702454019</v>
      </c>
      <c r="J33" s="657">
        <f t="shared" si="3"/>
        <v>11816754.241502061</v>
      </c>
      <c r="K33" s="657">
        <f t="shared" si="3"/>
        <v>15622707.928905191</v>
      </c>
      <c r="L33" s="657">
        <f t="shared" si="3"/>
        <v>4779.9796262767268</v>
      </c>
    </row>
    <row r="35" spans="1:12">
      <c r="B35" s="526"/>
      <c r="C35" s="526"/>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Normal="100" workbookViewId="0">
      <selection activeCell="C6" sqref="C6:K11"/>
    </sheetView>
  </sheetViews>
  <sheetFormatPr defaultColWidth="8.77734375" defaultRowHeight="12"/>
  <cols>
    <col min="1" max="1" width="11.77734375" style="528" bestFit="1" customWidth="1"/>
    <col min="2" max="2" width="70.5546875" style="528" customWidth="1"/>
    <col min="3" max="3" width="16.109375" style="528" bestFit="1" customWidth="1"/>
    <col min="4" max="4" width="20.6640625" style="528" bestFit="1" customWidth="1"/>
    <col min="5" max="5" width="27.6640625" style="528" bestFit="1" customWidth="1"/>
    <col min="6" max="6" width="25.5546875" style="528" bestFit="1" customWidth="1"/>
    <col min="7" max="7" width="26.6640625" style="528" bestFit="1" customWidth="1"/>
    <col min="8" max="8" width="25.77734375" style="528" bestFit="1" customWidth="1"/>
    <col min="9" max="9" width="22.44140625" style="528" bestFit="1" customWidth="1"/>
    <col min="10" max="10" width="25.5546875" style="528" bestFit="1" customWidth="1"/>
    <col min="11" max="11" width="28.21875" style="528" customWidth="1"/>
    <col min="12" max="16384" width="8.77734375" style="528"/>
  </cols>
  <sheetData>
    <row r="1" spans="1:11" s="473" customFormat="1" ht="13.8">
      <c r="A1" s="373" t="s">
        <v>30</v>
      </c>
      <c r="B1" s="459" t="str">
        <f>'Info '!C2</f>
        <v>JSC "CREDOBANK"</v>
      </c>
    </row>
    <row r="2" spans="1:11" s="473" customFormat="1">
      <c r="A2" s="373" t="s">
        <v>31</v>
      </c>
      <c r="B2" s="458">
        <f>'1. key ratios '!B2</f>
        <v>45291</v>
      </c>
    </row>
    <row r="3" spans="1:11" s="473" customFormat="1">
      <c r="A3" s="374" t="s">
        <v>505</v>
      </c>
    </row>
    <row r="4" spans="1:11">
      <c r="C4" s="531" t="s">
        <v>701</v>
      </c>
      <c r="D4" s="531" t="s">
        <v>700</v>
      </c>
      <c r="E4" s="531" t="s">
        <v>699</v>
      </c>
      <c r="F4" s="531" t="s">
        <v>698</v>
      </c>
      <c r="G4" s="531" t="s">
        <v>697</v>
      </c>
      <c r="H4" s="531" t="s">
        <v>696</v>
      </c>
      <c r="I4" s="531" t="s">
        <v>695</v>
      </c>
      <c r="J4" s="531" t="s">
        <v>694</v>
      </c>
      <c r="K4" s="531" t="s">
        <v>693</v>
      </c>
    </row>
    <row r="5" spans="1:11" ht="103.95" customHeight="1">
      <c r="A5" s="818" t="s">
        <v>692</v>
      </c>
      <c r="B5" s="819"/>
      <c r="C5" s="530" t="s">
        <v>506</v>
      </c>
      <c r="D5" s="530" t="s">
        <v>507</v>
      </c>
      <c r="E5" s="530" t="s">
        <v>508</v>
      </c>
      <c r="F5" s="530" t="s">
        <v>509</v>
      </c>
      <c r="G5" s="530" t="s">
        <v>510</v>
      </c>
      <c r="H5" s="530" t="s">
        <v>511</v>
      </c>
      <c r="I5" s="530" t="s">
        <v>512</v>
      </c>
      <c r="J5" s="530" t="s">
        <v>513</v>
      </c>
      <c r="K5" s="530" t="s">
        <v>514</v>
      </c>
    </row>
    <row r="6" spans="1:11" ht="13.8">
      <c r="A6" s="462">
        <v>1</v>
      </c>
      <c r="B6" s="462" t="s">
        <v>474</v>
      </c>
      <c r="C6" s="681">
        <v>6984769.435000997</v>
      </c>
      <c r="D6" s="664">
        <v>87718.399999999994</v>
      </c>
      <c r="E6" s="681"/>
      <c r="F6" s="681">
        <v>814.87824824873701</v>
      </c>
      <c r="G6" s="681">
        <v>554029093.23780239</v>
      </c>
      <c r="H6" s="681"/>
      <c r="I6" s="681">
        <v>82647450</v>
      </c>
      <c r="J6" s="681">
        <v>266341553.4532249</v>
      </c>
      <c r="K6" s="681">
        <v>1115009327.9158635</v>
      </c>
    </row>
    <row r="7" spans="1:11" ht="13.8">
      <c r="A7" s="462">
        <v>2</v>
      </c>
      <c r="B7" s="462" t="s">
        <v>515</v>
      </c>
      <c r="C7" s="682"/>
      <c r="D7" s="682"/>
      <c r="E7" s="682"/>
      <c r="F7" s="682"/>
      <c r="G7" s="682"/>
      <c r="H7" s="682"/>
      <c r="I7" s="682"/>
      <c r="J7" s="682"/>
      <c r="K7" s="682"/>
    </row>
    <row r="8" spans="1:11" ht="13.8">
      <c r="A8" s="462">
        <v>3</v>
      </c>
      <c r="B8" s="462" t="s">
        <v>482</v>
      </c>
      <c r="C8" s="681">
        <v>1344700</v>
      </c>
      <c r="D8" s="682"/>
      <c r="E8" s="682"/>
      <c r="F8" s="682"/>
      <c r="G8" s="681">
        <v>429000</v>
      </c>
      <c r="H8" s="682"/>
      <c r="I8" s="682"/>
      <c r="J8" s="682"/>
      <c r="K8" s="681">
        <v>54425864</v>
      </c>
    </row>
    <row r="9" spans="1:11" ht="13.8">
      <c r="A9" s="462">
        <v>4</v>
      </c>
      <c r="B9" s="482" t="s">
        <v>516</v>
      </c>
      <c r="C9" s="683"/>
      <c r="D9" s="682"/>
      <c r="E9" s="683"/>
      <c r="F9" s="683"/>
      <c r="G9" s="684">
        <v>2121808</v>
      </c>
      <c r="H9" s="683"/>
      <c r="I9" s="684">
        <v>432539.69817107491</v>
      </c>
      <c r="J9" s="684">
        <v>2663455</v>
      </c>
      <c r="K9" s="684">
        <v>14533173.185848925</v>
      </c>
    </row>
    <row r="10" spans="1:11" ht="13.8">
      <c r="A10" s="462">
        <v>5</v>
      </c>
      <c r="B10" s="482" t="s">
        <v>517</v>
      </c>
      <c r="C10" s="683"/>
      <c r="D10" s="683"/>
      <c r="E10" s="683"/>
      <c r="F10" s="683"/>
      <c r="G10" s="683"/>
      <c r="H10" s="683"/>
      <c r="I10" s="683"/>
      <c r="J10" s="683"/>
      <c r="K10" s="683"/>
    </row>
    <row r="11" spans="1:11" ht="13.8">
      <c r="A11" s="462">
        <v>6</v>
      </c>
      <c r="B11" s="482" t="s">
        <v>518</v>
      </c>
      <c r="C11" s="683"/>
      <c r="D11" s="683"/>
      <c r="E11" s="683"/>
      <c r="F11" s="683"/>
      <c r="G11" s="683"/>
      <c r="H11" s="683"/>
      <c r="I11" s="683"/>
      <c r="J11" s="683"/>
      <c r="K11" s="683"/>
    </row>
    <row r="13" spans="1:11" ht="13.8">
      <c r="B13" s="529"/>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Normal="100" workbookViewId="0">
      <selection activeCell="E21" sqref="E21"/>
    </sheetView>
  </sheetViews>
  <sheetFormatPr defaultColWidth="8.77734375" defaultRowHeight="14.4"/>
  <cols>
    <col min="1" max="1" width="10" style="532" bestFit="1" customWidth="1"/>
    <col min="2" max="2" width="71.77734375" style="532" customWidth="1"/>
    <col min="3" max="3" width="11" style="532" bestFit="1" customWidth="1"/>
    <col min="4" max="5" width="15.21875" style="532" bestFit="1" customWidth="1"/>
    <col min="6" max="6" width="20" style="532" bestFit="1" customWidth="1"/>
    <col min="7" max="7" width="10.5546875" style="532" customWidth="1"/>
    <col min="8" max="8" width="11" style="532" bestFit="1" customWidth="1"/>
    <col min="9" max="10" width="15.21875" style="532" bestFit="1" customWidth="1"/>
    <col min="11" max="11" width="20" style="532" bestFit="1" customWidth="1"/>
    <col min="12" max="12" width="12.21875" style="532" customWidth="1"/>
    <col min="13" max="13" width="10.6640625" style="532" bestFit="1" customWidth="1"/>
    <col min="14" max="15" width="15.21875" style="532" bestFit="1" customWidth="1"/>
    <col min="16" max="16" width="20" style="532" bestFit="1" customWidth="1"/>
    <col min="17" max="17" width="8.5546875" style="532" customWidth="1"/>
    <col min="18" max="18" width="18" style="532" bestFit="1" customWidth="1"/>
    <col min="19" max="19" width="22.21875" style="532" customWidth="1"/>
    <col min="20" max="20" width="26.44140625" style="532" customWidth="1"/>
    <col min="21" max="21" width="33.5546875" style="532" customWidth="1"/>
    <col min="22" max="22" width="29.88671875" style="532" customWidth="1"/>
    <col min="23" max="16384" width="8.77734375" style="532"/>
  </cols>
  <sheetData>
    <row r="1" spans="1:22">
      <c r="A1" s="373" t="s">
        <v>30</v>
      </c>
      <c r="B1" s="459" t="str">
        <f>'Info '!C2</f>
        <v>JSC "CREDOBANK"</v>
      </c>
    </row>
    <row r="2" spans="1:22">
      <c r="A2" s="373" t="s">
        <v>31</v>
      </c>
      <c r="B2" s="458">
        <f>'1. key ratios '!B2</f>
        <v>45291</v>
      </c>
    </row>
    <row r="3" spans="1:22">
      <c r="A3" s="374" t="s">
        <v>533</v>
      </c>
      <c r="B3" s="473"/>
    </row>
    <row r="4" spans="1:22">
      <c r="A4" s="374"/>
      <c r="B4" s="473"/>
    </row>
    <row r="5" spans="1:22" ht="24" customHeight="1">
      <c r="A5" s="820" t="s">
        <v>534</v>
      </c>
      <c r="B5" s="821"/>
      <c r="C5" s="825" t="s">
        <v>702</v>
      </c>
      <c r="D5" s="825"/>
      <c r="E5" s="825"/>
      <c r="F5" s="825"/>
      <c r="G5" s="825"/>
      <c r="H5" s="825" t="s">
        <v>553</v>
      </c>
      <c r="I5" s="825"/>
      <c r="J5" s="825"/>
      <c r="K5" s="825"/>
      <c r="L5" s="825"/>
      <c r="M5" s="825" t="s">
        <v>666</v>
      </c>
      <c r="N5" s="825"/>
      <c r="O5" s="825"/>
      <c r="P5" s="825"/>
      <c r="Q5" s="825"/>
      <c r="R5" s="824" t="s">
        <v>535</v>
      </c>
      <c r="S5" s="824" t="s">
        <v>549</v>
      </c>
      <c r="T5" s="824" t="s">
        <v>550</v>
      </c>
      <c r="U5" s="824" t="s">
        <v>554</v>
      </c>
      <c r="V5" s="824" t="s">
        <v>551</v>
      </c>
    </row>
    <row r="6" spans="1:22" ht="36" customHeight="1">
      <c r="A6" s="822"/>
      <c r="B6" s="823"/>
      <c r="C6" s="541"/>
      <c r="D6" s="471" t="s">
        <v>687</v>
      </c>
      <c r="E6" s="471" t="s">
        <v>686</v>
      </c>
      <c r="F6" s="471" t="s">
        <v>685</v>
      </c>
      <c r="G6" s="471" t="s">
        <v>684</v>
      </c>
      <c r="H6" s="541"/>
      <c r="I6" s="471" t="s">
        <v>687</v>
      </c>
      <c r="J6" s="471" t="s">
        <v>686</v>
      </c>
      <c r="K6" s="471" t="s">
        <v>685</v>
      </c>
      <c r="L6" s="471" t="s">
        <v>684</v>
      </c>
      <c r="M6" s="541"/>
      <c r="N6" s="471" t="s">
        <v>687</v>
      </c>
      <c r="O6" s="471" t="s">
        <v>686</v>
      </c>
      <c r="P6" s="471" t="s">
        <v>685</v>
      </c>
      <c r="Q6" s="471" t="s">
        <v>684</v>
      </c>
      <c r="R6" s="824"/>
      <c r="S6" s="824"/>
      <c r="T6" s="824"/>
      <c r="U6" s="824"/>
      <c r="V6" s="824"/>
    </row>
    <row r="7" spans="1:22">
      <c r="A7" s="536">
        <v>1</v>
      </c>
      <c r="B7" s="540" t="s">
        <v>543</v>
      </c>
      <c r="C7" s="685">
        <f>SUM(D7:G7)</f>
        <v>22507587.609999988</v>
      </c>
      <c r="D7" s="686">
        <v>22110074.279999986</v>
      </c>
      <c r="E7" s="686">
        <v>291615.65999999997</v>
      </c>
      <c r="F7" s="686">
        <v>78004.73000000001</v>
      </c>
      <c r="G7" s="686">
        <v>27892.94</v>
      </c>
      <c r="H7" s="685">
        <f>SUM(I7:L7)</f>
        <v>22725749.745310273</v>
      </c>
      <c r="I7" s="686">
        <v>22298526.6496359</v>
      </c>
      <c r="J7" s="686">
        <v>302296.3013245379</v>
      </c>
      <c r="K7" s="686">
        <v>96899.094349833787</v>
      </c>
      <c r="L7" s="686">
        <v>28027.699999999997</v>
      </c>
      <c r="M7" s="685">
        <f>SUM(N7:Q7)</f>
        <v>391730.06943585735</v>
      </c>
      <c r="N7" s="686">
        <v>227511.9341925309</v>
      </c>
      <c r="O7" s="686">
        <v>84130.332815868984</v>
      </c>
      <c r="P7" s="686">
        <v>79851.78852269004</v>
      </c>
      <c r="Q7" s="686">
        <v>236.01390476747261</v>
      </c>
      <c r="R7" s="686">
        <v>13745</v>
      </c>
      <c r="S7" s="687">
        <v>0.2369847602327958</v>
      </c>
      <c r="T7" s="688">
        <v>0.30999999999999994</v>
      </c>
      <c r="U7" s="688">
        <v>0.23</v>
      </c>
      <c r="V7" s="686">
        <v>38.016706999999997</v>
      </c>
    </row>
    <row r="8" spans="1:22">
      <c r="A8" s="536">
        <v>2</v>
      </c>
      <c r="B8" s="539" t="s">
        <v>542</v>
      </c>
      <c r="C8" s="685">
        <f t="shared" ref="C8:C18" si="0">SUM(D8:G8)</f>
        <v>900919103.9571979</v>
      </c>
      <c r="D8" s="686">
        <v>852602199.71089804</v>
      </c>
      <c r="E8" s="686">
        <v>39539500.140599839</v>
      </c>
      <c r="F8" s="686">
        <v>8713569.3656999953</v>
      </c>
      <c r="G8" s="686">
        <v>63834.74</v>
      </c>
      <c r="H8" s="685">
        <f t="shared" ref="H8:H18" si="1">SUM(I8:L8)</f>
        <v>898385359.47735739</v>
      </c>
      <c r="I8" s="686">
        <v>846376369.01999998</v>
      </c>
      <c r="J8" s="686">
        <v>41742545.175810471</v>
      </c>
      <c r="K8" s="686">
        <v>10202557.621546928</v>
      </c>
      <c r="L8" s="686">
        <v>63887.659999999996</v>
      </c>
      <c r="M8" s="685">
        <f t="shared" ref="M8:M18" si="2">SUM(N8:Q8)</f>
        <v>23455767.671664089</v>
      </c>
      <c r="N8" s="686">
        <v>8326652.7699999996</v>
      </c>
      <c r="O8" s="686">
        <v>6782712.6070812885</v>
      </c>
      <c r="P8" s="686">
        <v>8345605.2676286558</v>
      </c>
      <c r="Q8" s="686">
        <v>797.02695414303071</v>
      </c>
      <c r="R8" s="689">
        <v>180185</v>
      </c>
      <c r="S8" s="687">
        <v>0.2457583080793089</v>
      </c>
      <c r="T8" s="688">
        <v>0.34151661615861778</v>
      </c>
      <c r="U8" s="688">
        <v>0.23</v>
      </c>
      <c r="V8" s="686">
        <v>35.380222000000003</v>
      </c>
    </row>
    <row r="9" spans="1:22">
      <c r="A9" s="536">
        <v>3</v>
      </c>
      <c r="B9" s="539" t="s">
        <v>541</v>
      </c>
      <c r="C9" s="685">
        <f t="shared" si="0"/>
        <v>0</v>
      </c>
      <c r="D9" s="686"/>
      <c r="E9" s="686"/>
      <c r="F9" s="686"/>
      <c r="G9" s="686"/>
      <c r="H9" s="685">
        <f t="shared" si="1"/>
        <v>0</v>
      </c>
      <c r="I9" s="686"/>
      <c r="J9" s="686"/>
      <c r="K9" s="686"/>
      <c r="L9" s="686"/>
      <c r="M9" s="685">
        <f t="shared" si="2"/>
        <v>0</v>
      </c>
      <c r="N9" s="686"/>
      <c r="O9" s="686"/>
      <c r="P9" s="686"/>
      <c r="Q9" s="686"/>
      <c r="R9" s="686">
        <v>0</v>
      </c>
      <c r="S9" s="687"/>
      <c r="T9" s="688"/>
      <c r="U9" s="688"/>
      <c r="V9" s="686"/>
    </row>
    <row r="10" spans="1:22">
      <c r="A10" s="536">
        <v>4</v>
      </c>
      <c r="B10" s="539" t="s">
        <v>540</v>
      </c>
      <c r="C10" s="685">
        <f t="shared" si="0"/>
        <v>205542049.51000127</v>
      </c>
      <c r="D10" s="686">
        <v>201131705.83000126</v>
      </c>
      <c r="E10" s="686">
        <v>2756602.1200000024</v>
      </c>
      <c r="F10" s="686">
        <v>1653741.5599999989</v>
      </c>
      <c r="G10" s="686"/>
      <c r="H10" s="685">
        <f t="shared" si="1"/>
        <v>206355114.50165722</v>
      </c>
      <c r="I10" s="686">
        <v>201171591.78878877</v>
      </c>
      <c r="J10" s="686">
        <v>2945894.5628684317</v>
      </c>
      <c r="K10" s="686">
        <v>2237628.1499999985</v>
      </c>
      <c r="L10" s="686"/>
      <c r="M10" s="685">
        <f t="shared" si="2"/>
        <v>5215372.7045600768</v>
      </c>
      <c r="N10" s="686">
        <v>2626671.9443110419</v>
      </c>
      <c r="O10" s="686">
        <v>746072.7253092397</v>
      </c>
      <c r="P10" s="686">
        <v>1842628.0349397955</v>
      </c>
      <c r="Q10" s="686"/>
      <c r="R10" s="689">
        <v>253451</v>
      </c>
      <c r="S10" s="687">
        <v>6.2260076966370884E-2</v>
      </c>
      <c r="T10" s="688">
        <v>0.1969747295862303</v>
      </c>
      <c r="U10" s="688">
        <v>0.06</v>
      </c>
      <c r="V10" s="686">
        <v>11.974199</v>
      </c>
    </row>
    <row r="11" spans="1:22">
      <c r="A11" s="536">
        <v>5</v>
      </c>
      <c r="B11" s="539" t="s">
        <v>539</v>
      </c>
      <c r="C11" s="685">
        <f t="shared" si="0"/>
        <v>16714.569999999996</v>
      </c>
      <c r="D11" s="686">
        <v>16714.569999999996</v>
      </c>
      <c r="E11" s="686"/>
      <c r="F11" s="686"/>
      <c r="G11" s="686"/>
      <c r="H11" s="685">
        <f t="shared" si="1"/>
        <v>17061.98</v>
      </c>
      <c r="I11" s="686">
        <v>17058.98</v>
      </c>
      <c r="J11" s="686"/>
      <c r="K11" s="686">
        <v>3</v>
      </c>
      <c r="L11" s="686"/>
      <c r="M11" s="685">
        <f t="shared" si="2"/>
        <v>3624.0525211581216</v>
      </c>
      <c r="N11" s="686">
        <v>3621.2197714717213</v>
      </c>
      <c r="O11" s="686"/>
      <c r="P11" s="686">
        <v>2.8327496864002599</v>
      </c>
      <c r="Q11" s="686"/>
      <c r="R11" s="689">
        <v>14</v>
      </c>
      <c r="S11" s="687">
        <v>0.41793133546697697</v>
      </c>
      <c r="T11" s="688">
        <v>0.52605483908283701</v>
      </c>
      <c r="U11" s="688">
        <v>0.38</v>
      </c>
      <c r="V11" s="686">
        <v>1.5764149999999999</v>
      </c>
    </row>
    <row r="12" spans="1:22">
      <c r="A12" s="536">
        <v>6</v>
      </c>
      <c r="B12" s="539" t="s">
        <v>538</v>
      </c>
      <c r="C12" s="685">
        <f t="shared" si="0"/>
        <v>28451102.490000315</v>
      </c>
      <c r="D12" s="686">
        <v>27142078.560000319</v>
      </c>
      <c r="E12" s="686">
        <v>751149.34999999939</v>
      </c>
      <c r="F12" s="686">
        <v>557874.57999999984</v>
      </c>
      <c r="G12" s="686"/>
      <c r="H12" s="685">
        <f t="shared" si="1"/>
        <v>28451326.039165072</v>
      </c>
      <c r="I12" s="686">
        <v>27141952.984239623</v>
      </c>
      <c r="J12" s="686">
        <v>751498.47492545052</v>
      </c>
      <c r="K12" s="686">
        <v>557874.57999999984</v>
      </c>
      <c r="L12" s="686"/>
      <c r="M12" s="685">
        <f t="shared" si="2"/>
        <v>1152766.8663971173</v>
      </c>
      <c r="N12" s="686">
        <v>379311.82635463576</v>
      </c>
      <c r="O12" s="686">
        <v>314059.96982571518</v>
      </c>
      <c r="P12" s="686">
        <v>459395.07021676638</v>
      </c>
      <c r="Q12" s="686"/>
      <c r="R12" s="689">
        <v>91965</v>
      </c>
      <c r="S12" s="687">
        <v>0.31422130178718982</v>
      </c>
      <c r="T12" s="688">
        <v>0.38422130178718988</v>
      </c>
      <c r="U12" s="688">
        <v>0.32</v>
      </c>
      <c r="V12" s="686">
        <v>304.424711</v>
      </c>
    </row>
    <row r="13" spans="1:22">
      <c r="A13" s="536">
        <v>7</v>
      </c>
      <c r="B13" s="539" t="s">
        <v>537</v>
      </c>
      <c r="C13" s="690">
        <f t="shared" ref="C13:L13" si="3">SUM(C14:C16)</f>
        <v>191270649.78490007</v>
      </c>
      <c r="D13" s="690">
        <f t="shared" si="3"/>
        <v>187717695.32490009</v>
      </c>
      <c r="E13" s="690">
        <f t="shared" si="3"/>
        <v>2837566.9299999997</v>
      </c>
      <c r="F13" s="690">
        <f t="shared" si="3"/>
        <v>688028.74000000022</v>
      </c>
      <c r="G13" s="690">
        <f t="shared" si="3"/>
        <v>27358.790000000005</v>
      </c>
      <c r="H13" s="685">
        <f t="shared" si="1"/>
        <v>190289579.52330664</v>
      </c>
      <c r="I13" s="690">
        <f t="shared" si="3"/>
        <v>186483933.75541639</v>
      </c>
      <c r="J13" s="690">
        <f t="shared" si="3"/>
        <v>2984021.0512932306</v>
      </c>
      <c r="K13" s="690">
        <f t="shared" si="3"/>
        <v>794192.82659704762</v>
      </c>
      <c r="L13" s="690">
        <f t="shared" si="3"/>
        <v>27431.890000000003</v>
      </c>
      <c r="M13" s="685">
        <f t="shared" si="2"/>
        <v>2223496.9004521621</v>
      </c>
      <c r="N13" s="690">
        <f t="shared" ref="N13:Q13" si="4">SUM(N14:N16)</f>
        <v>1033658.6873278128</v>
      </c>
      <c r="O13" s="690">
        <f t="shared" si="4"/>
        <v>525755.82099187165</v>
      </c>
      <c r="P13" s="690">
        <f t="shared" si="4"/>
        <v>663726.59996352741</v>
      </c>
      <c r="Q13" s="690">
        <f t="shared" si="4"/>
        <v>355.79216895063803</v>
      </c>
      <c r="R13" s="690">
        <f>SUM(R14:R16)</f>
        <v>15445</v>
      </c>
      <c r="S13" s="691">
        <v>0.19636229704292302</v>
      </c>
      <c r="T13" s="692">
        <v>0.25636229704292302</v>
      </c>
      <c r="U13" s="692">
        <v>0.18</v>
      </c>
      <c r="V13" s="690">
        <v>76.910328000000007</v>
      </c>
    </row>
    <row r="14" spans="1:22">
      <c r="A14" s="534">
        <v>7.1</v>
      </c>
      <c r="B14" s="533" t="s">
        <v>546</v>
      </c>
      <c r="C14" s="685">
        <f t="shared" si="0"/>
        <v>93047264.209299833</v>
      </c>
      <c r="D14" s="686">
        <v>92677148.229299828</v>
      </c>
      <c r="E14" s="686">
        <v>368160.13999999996</v>
      </c>
      <c r="F14" s="686"/>
      <c r="G14" s="686">
        <v>1955.84</v>
      </c>
      <c r="H14" s="685">
        <f t="shared" si="1"/>
        <v>92662545.711642414</v>
      </c>
      <c r="I14" s="686">
        <v>92292017.56717658</v>
      </c>
      <c r="J14" s="686">
        <v>368572.30446583609</v>
      </c>
      <c r="K14" s="686"/>
      <c r="L14" s="686">
        <v>1955.84</v>
      </c>
      <c r="M14" s="685">
        <f t="shared" si="2"/>
        <v>323573.14107315714</v>
      </c>
      <c r="N14" s="686">
        <v>237972.71979992997</v>
      </c>
      <c r="O14" s="686">
        <v>85584.679870494525</v>
      </c>
      <c r="P14" s="686"/>
      <c r="Q14" s="686">
        <v>15.7414027326303</v>
      </c>
      <c r="R14" s="689">
        <v>1338</v>
      </c>
      <c r="S14" s="687">
        <v>0.15289379836852396</v>
      </c>
      <c r="T14" s="688">
        <v>0.18289379836852393</v>
      </c>
      <c r="U14" s="688">
        <v>0.13</v>
      </c>
      <c r="V14" s="686">
        <v>119.894713</v>
      </c>
    </row>
    <row r="15" spans="1:22">
      <c r="A15" s="534">
        <v>7.2</v>
      </c>
      <c r="B15" s="533" t="s">
        <v>548</v>
      </c>
      <c r="C15" s="685">
        <f t="shared" si="0"/>
        <v>3243499.0394000001</v>
      </c>
      <c r="D15" s="686">
        <v>3225481.7993999999</v>
      </c>
      <c r="E15" s="686">
        <v>18017.240000000002</v>
      </c>
      <c r="F15" s="686"/>
      <c r="G15" s="686"/>
      <c r="H15" s="685">
        <f t="shared" si="1"/>
        <v>3236847.2116675829</v>
      </c>
      <c r="I15" s="686">
        <v>3217669.9115658817</v>
      </c>
      <c r="J15" s="686">
        <v>19177.300101701199</v>
      </c>
      <c r="K15" s="686"/>
      <c r="L15" s="686"/>
      <c r="M15" s="685">
        <f t="shared" si="2"/>
        <v>9214.3307817380992</v>
      </c>
      <c r="N15" s="686">
        <v>8507.7313581366725</v>
      </c>
      <c r="O15" s="686">
        <v>706.59942360142702</v>
      </c>
      <c r="P15" s="686"/>
      <c r="Q15" s="686"/>
      <c r="R15" s="689">
        <v>57</v>
      </c>
      <c r="S15" s="687"/>
      <c r="T15" s="688"/>
      <c r="U15" s="688">
        <v>0.13</v>
      </c>
      <c r="V15" s="686">
        <v>96.008741999999998</v>
      </c>
    </row>
    <row r="16" spans="1:22">
      <c r="A16" s="534">
        <v>7.3</v>
      </c>
      <c r="B16" s="533" t="s">
        <v>545</v>
      </c>
      <c r="C16" s="685">
        <f t="shared" si="0"/>
        <v>94979886.53620024</v>
      </c>
      <c r="D16" s="686">
        <v>91815065.296200246</v>
      </c>
      <c r="E16" s="686">
        <v>2451389.5499999998</v>
      </c>
      <c r="F16" s="686">
        <v>688028.74000000022</v>
      </c>
      <c r="G16" s="686">
        <v>25402.950000000004</v>
      </c>
      <c r="H16" s="685">
        <f t="shared" si="1"/>
        <v>94390186.599996686</v>
      </c>
      <c r="I16" s="686">
        <v>90974246.276673943</v>
      </c>
      <c r="J16" s="686">
        <v>2596271.4467256935</v>
      </c>
      <c r="K16" s="686">
        <v>794192.82659704762</v>
      </c>
      <c r="L16" s="686">
        <v>25476.050000000003</v>
      </c>
      <c r="M16" s="685">
        <f t="shared" si="2"/>
        <v>1890709.4285972673</v>
      </c>
      <c r="N16" s="686">
        <v>787178.23616974615</v>
      </c>
      <c r="O16" s="686">
        <v>439464.54169777565</v>
      </c>
      <c r="P16" s="686">
        <v>663726.59996352741</v>
      </c>
      <c r="Q16" s="686">
        <v>340.05076621800771</v>
      </c>
      <c r="R16" s="689">
        <v>14050</v>
      </c>
      <c r="S16" s="687">
        <v>0.24242640049749861</v>
      </c>
      <c r="T16" s="688">
        <v>0.33242640049749866</v>
      </c>
      <c r="U16" s="688">
        <v>0.22</v>
      </c>
      <c r="V16" s="686">
        <v>34.054079999999999</v>
      </c>
    </row>
    <row r="17" spans="1:22">
      <c r="A17" s="536">
        <v>8</v>
      </c>
      <c r="B17" s="539" t="s">
        <v>544</v>
      </c>
      <c r="C17" s="685">
        <f t="shared" si="0"/>
        <v>0</v>
      </c>
      <c r="D17" s="686"/>
      <c r="E17" s="686"/>
      <c r="F17" s="686"/>
      <c r="G17" s="686"/>
      <c r="H17" s="685">
        <f t="shared" si="1"/>
        <v>0</v>
      </c>
      <c r="I17" s="686"/>
      <c r="J17" s="686"/>
      <c r="K17" s="686"/>
      <c r="L17" s="686"/>
      <c r="M17" s="685">
        <f t="shared" si="2"/>
        <v>0</v>
      </c>
      <c r="N17" s="686"/>
      <c r="O17" s="686"/>
      <c r="P17" s="686"/>
      <c r="Q17" s="686"/>
      <c r="R17" s="689">
        <v>0</v>
      </c>
      <c r="S17" s="687"/>
      <c r="T17" s="688"/>
      <c r="U17" s="688"/>
      <c r="V17" s="686"/>
    </row>
    <row r="18" spans="1:22">
      <c r="A18" s="538">
        <v>9</v>
      </c>
      <c r="B18" s="537" t="s">
        <v>536</v>
      </c>
      <c r="C18" s="685">
        <f t="shared" si="0"/>
        <v>5434434.3391999984</v>
      </c>
      <c r="D18" s="693">
        <v>5367963.919999999</v>
      </c>
      <c r="E18" s="693">
        <v>54912.199200000003</v>
      </c>
      <c r="F18" s="686">
        <v>11558.220000000001</v>
      </c>
      <c r="G18" s="693">
        <v>0</v>
      </c>
      <c r="H18" s="685">
        <f t="shared" si="1"/>
        <v>5472598.58917135</v>
      </c>
      <c r="I18" s="686">
        <v>5403814.4405555958</v>
      </c>
      <c r="J18" s="686">
        <v>55554.009930499757</v>
      </c>
      <c r="K18" s="686">
        <v>13230.138685254351</v>
      </c>
      <c r="L18" s="693"/>
      <c r="M18" s="685">
        <f t="shared" si="2"/>
        <v>93956.281380187807</v>
      </c>
      <c r="N18" s="693">
        <v>65542.718892926932</v>
      </c>
      <c r="O18" s="693">
        <v>17518.890623398591</v>
      </c>
      <c r="P18" s="693">
        <v>10894.671863862277</v>
      </c>
      <c r="Q18" s="693"/>
      <c r="R18" s="694">
        <v>1866</v>
      </c>
      <c r="S18" s="687">
        <v>0.04</v>
      </c>
      <c r="T18" s="688">
        <v>0.05</v>
      </c>
      <c r="U18" s="695">
        <v>0.05</v>
      </c>
      <c r="V18" s="693">
        <v>49.740496</v>
      </c>
    </row>
    <row r="19" spans="1:22">
      <c r="A19" s="536">
        <v>10</v>
      </c>
      <c r="B19" s="535" t="s">
        <v>547</v>
      </c>
      <c r="C19" s="685">
        <f>SUM(C7:C13)+C17+C18</f>
        <v>1354141642.2612996</v>
      </c>
      <c r="D19" s="685">
        <f t="shared" ref="D19:G19" si="5">SUM(D7:D13)+D17+D18</f>
        <v>1296088432.1957998</v>
      </c>
      <c r="E19" s="685">
        <f t="shared" si="5"/>
        <v>46231346.399799839</v>
      </c>
      <c r="F19" s="685">
        <f t="shared" si="5"/>
        <v>11702777.195699995</v>
      </c>
      <c r="G19" s="685">
        <f t="shared" si="5"/>
        <v>119086.47</v>
      </c>
      <c r="H19" s="685">
        <f>SUM(H7:H13)+H17+H18</f>
        <v>1351696789.855968</v>
      </c>
      <c r="I19" s="685">
        <f t="shared" ref="I19:L19" si="6">SUM(I7:I13)+I17+I18</f>
        <v>1288893247.6186364</v>
      </c>
      <c r="J19" s="685">
        <f t="shared" si="6"/>
        <v>48781809.576152623</v>
      </c>
      <c r="K19" s="685">
        <f t="shared" si="6"/>
        <v>13902385.411179062</v>
      </c>
      <c r="L19" s="685">
        <f t="shared" si="6"/>
        <v>119347.24999999999</v>
      </c>
      <c r="M19" s="685">
        <f>SUM(M7:M13)+M17+M18</f>
        <v>32536714.54641065</v>
      </c>
      <c r="N19" s="685">
        <f t="shared" ref="N19:R19" si="7">SUM(N7:N13)+N17+N18</f>
        <v>12662971.100850418</v>
      </c>
      <c r="O19" s="685">
        <f t="shared" si="7"/>
        <v>8470250.3466473818</v>
      </c>
      <c r="P19" s="685">
        <f t="shared" si="7"/>
        <v>11402104.265884982</v>
      </c>
      <c r="Q19" s="685">
        <f t="shared" si="7"/>
        <v>1388.8330278611415</v>
      </c>
      <c r="R19" s="685">
        <f t="shared" si="7"/>
        <v>556671</v>
      </c>
      <c r="S19" s="691">
        <v>0.19289999999999999</v>
      </c>
      <c r="T19" s="691">
        <v>0.29170000000000001</v>
      </c>
      <c r="U19" s="696">
        <v>0.2</v>
      </c>
      <c r="V19" s="697">
        <v>43</v>
      </c>
    </row>
    <row r="20" spans="1:22" ht="24">
      <c r="A20" s="534">
        <v>10.1</v>
      </c>
      <c r="B20" s="533" t="s">
        <v>552</v>
      </c>
      <c r="C20" s="685">
        <f>SUM(D20:G20)</f>
        <v>1197184.5999999999</v>
      </c>
      <c r="D20" s="689">
        <v>1189206.3999999999</v>
      </c>
      <c r="E20" s="689">
        <v>4269.2</v>
      </c>
      <c r="F20" s="689">
        <v>3709</v>
      </c>
      <c r="G20" s="689"/>
      <c r="H20" s="685">
        <f>SUM(I20:L20)</f>
        <v>1193698</v>
      </c>
      <c r="I20" s="689">
        <v>1184127</v>
      </c>
      <c r="J20" s="689">
        <v>4258</v>
      </c>
      <c r="K20" s="689">
        <v>5313</v>
      </c>
      <c r="L20" s="689"/>
      <c r="M20" s="685">
        <f>SUM(N20:Q20)</f>
        <v>17837.041900108372</v>
      </c>
      <c r="N20" s="689">
        <v>12710</v>
      </c>
      <c r="O20" s="689">
        <v>752</v>
      </c>
      <c r="P20" s="689">
        <v>4375.0419001083701</v>
      </c>
      <c r="Q20" s="689"/>
      <c r="R20" s="689">
        <v>601</v>
      </c>
      <c r="S20" s="698">
        <v>0.23960000000000001</v>
      </c>
      <c r="T20" s="698">
        <v>0.32</v>
      </c>
      <c r="U20" s="698">
        <v>0.22889999999999999</v>
      </c>
      <c r="V20" s="689">
        <v>29.93</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ignoredErrors>
    <ignoredError sqref="M7:M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topLeftCell="A26" zoomScale="80" zoomScaleNormal="80" workbookViewId="0">
      <selection activeCell="E33" sqref="E33"/>
    </sheetView>
  </sheetViews>
  <sheetFormatPr defaultRowHeight="14.4"/>
  <cols>
    <col min="1" max="1" width="8.77734375" style="409"/>
    <col min="2" max="2" width="69.21875" style="410" customWidth="1"/>
    <col min="3" max="3" width="13.6640625" customWidth="1"/>
    <col min="4" max="4" width="14.44140625" customWidth="1"/>
    <col min="5" max="6" width="13.88671875" bestFit="1" customWidth="1"/>
    <col min="7" max="7" width="13.44140625" customWidth="1"/>
    <col min="8" max="8" width="13.88671875" bestFit="1" customWidth="1"/>
  </cols>
  <sheetData>
    <row r="1" spans="1:8" s="5" customFormat="1" ht="13.8">
      <c r="A1" s="2" t="s">
        <v>30</v>
      </c>
      <c r="B1" s="3" t="str">
        <f>'Info '!C2</f>
        <v>JSC "CREDOBANK"</v>
      </c>
      <c r="C1" s="3"/>
      <c r="D1" s="4"/>
      <c r="E1" s="4"/>
      <c r="F1" s="4"/>
      <c r="G1" s="4"/>
    </row>
    <row r="2" spans="1:8" s="5" customFormat="1" ht="13.8">
      <c r="A2" s="2" t="s">
        <v>31</v>
      </c>
      <c r="B2" s="330">
        <f>'1. key ratios '!B2</f>
        <v>45291</v>
      </c>
      <c r="C2" s="3"/>
      <c r="D2" s="4"/>
      <c r="E2" s="4"/>
      <c r="F2" s="4"/>
      <c r="G2" s="4"/>
    </row>
    <row r="3" spans="1:8" s="5" customFormat="1" ht="13.8">
      <c r="A3" s="2"/>
      <c r="B3" s="3"/>
      <c r="C3" s="3"/>
      <c r="D3" s="4"/>
      <c r="E3" s="4"/>
      <c r="F3" s="4"/>
      <c r="G3" s="4"/>
    </row>
    <row r="4" spans="1:8" ht="21" customHeight="1">
      <c r="A4" s="713" t="s">
        <v>6</v>
      </c>
      <c r="B4" s="714" t="s">
        <v>560</v>
      </c>
      <c r="C4" s="716" t="s">
        <v>561</v>
      </c>
      <c r="D4" s="716"/>
      <c r="E4" s="716"/>
      <c r="F4" s="716" t="s">
        <v>562</v>
      </c>
      <c r="G4" s="716"/>
      <c r="H4" s="717"/>
    </row>
    <row r="5" spans="1:8" ht="21" customHeight="1">
      <c r="A5" s="713"/>
      <c r="B5" s="715"/>
      <c r="C5" s="380" t="s">
        <v>32</v>
      </c>
      <c r="D5" s="380" t="s">
        <v>33</v>
      </c>
      <c r="E5" s="380" t="s">
        <v>34</v>
      </c>
      <c r="F5" s="380" t="s">
        <v>32</v>
      </c>
      <c r="G5" s="380" t="s">
        <v>33</v>
      </c>
      <c r="H5" s="380" t="s">
        <v>34</v>
      </c>
    </row>
    <row r="6" spans="1:8" ht="26.55" customHeight="1">
      <c r="A6" s="713"/>
      <c r="B6" s="381" t="s">
        <v>563</v>
      </c>
      <c r="C6" s="718"/>
      <c r="D6" s="719"/>
      <c r="E6" s="719"/>
      <c r="F6" s="719"/>
      <c r="G6" s="719"/>
      <c r="H6" s="720"/>
    </row>
    <row r="7" spans="1:8" ht="22.95" customHeight="1">
      <c r="A7" s="382">
        <v>1</v>
      </c>
      <c r="B7" s="383" t="s">
        <v>564</v>
      </c>
      <c r="C7" s="579">
        <f>SUM(C8:C10)</f>
        <v>153504527.38</v>
      </c>
      <c r="D7" s="579">
        <f>SUM(D8:D10)</f>
        <v>167501649.63</v>
      </c>
      <c r="E7" s="580">
        <f>C7+D7</f>
        <v>321006177.00999999</v>
      </c>
      <c r="F7" s="579">
        <f>SUM(F8:F10)</f>
        <v>124861152.08</v>
      </c>
      <c r="G7" s="579">
        <f>SUM(G8:G10)</f>
        <v>173951611.38999999</v>
      </c>
      <c r="H7" s="580">
        <f>F7+G7</f>
        <v>298812763.46999997</v>
      </c>
    </row>
    <row r="8" spans="1:8">
      <c r="A8" s="382">
        <v>1.1000000000000001</v>
      </c>
      <c r="B8" s="384" t="s">
        <v>565</v>
      </c>
      <c r="C8" s="579">
        <v>48122091.949999996</v>
      </c>
      <c r="D8" s="579">
        <v>43106861.740000002</v>
      </c>
      <c r="E8" s="580">
        <f t="shared" ref="E8:E36" si="0">C8+D8</f>
        <v>91228953.689999998</v>
      </c>
      <c r="F8" s="579">
        <v>45906550.199999996</v>
      </c>
      <c r="G8" s="579">
        <v>32395861.529999997</v>
      </c>
      <c r="H8" s="580">
        <f t="shared" ref="H8:H36" si="1">F8+G8</f>
        <v>78302411.729999989</v>
      </c>
    </row>
    <row r="9" spans="1:8">
      <c r="A9" s="382">
        <v>1.2</v>
      </c>
      <c r="B9" s="384" t="s">
        <v>566</v>
      </c>
      <c r="C9" s="579">
        <v>98405777.010000005</v>
      </c>
      <c r="D9" s="579">
        <v>48827621.170000002</v>
      </c>
      <c r="E9" s="580">
        <f t="shared" si="0"/>
        <v>147233398.18000001</v>
      </c>
      <c r="F9" s="579">
        <v>75325317.739999995</v>
      </c>
      <c r="G9" s="579">
        <v>31350815.680000007</v>
      </c>
      <c r="H9" s="580">
        <f t="shared" si="1"/>
        <v>106676133.42</v>
      </c>
    </row>
    <row r="10" spans="1:8">
      <c r="A10" s="382">
        <v>1.3</v>
      </c>
      <c r="B10" s="384" t="s">
        <v>567</v>
      </c>
      <c r="C10" s="579">
        <v>6976658.4199999999</v>
      </c>
      <c r="D10" s="579">
        <v>75567166.719999984</v>
      </c>
      <c r="E10" s="580">
        <f t="shared" si="0"/>
        <v>82543825.139999986</v>
      </c>
      <c r="F10" s="579">
        <v>3629284.14</v>
      </c>
      <c r="G10" s="579">
        <v>110204934.17999999</v>
      </c>
      <c r="H10" s="580">
        <f t="shared" si="1"/>
        <v>113834218.31999999</v>
      </c>
    </row>
    <row r="11" spans="1:8">
      <c r="A11" s="382">
        <v>2</v>
      </c>
      <c r="B11" s="385" t="s">
        <v>568</v>
      </c>
      <c r="C11" s="579"/>
      <c r="D11" s="579"/>
      <c r="E11" s="580">
        <f t="shared" si="0"/>
        <v>0</v>
      </c>
      <c r="F11" s="579"/>
      <c r="G11" s="579"/>
      <c r="H11" s="580">
        <f t="shared" si="1"/>
        <v>0</v>
      </c>
    </row>
    <row r="12" spans="1:8">
      <c r="A12" s="382">
        <v>2.1</v>
      </c>
      <c r="B12" s="386" t="s">
        <v>569</v>
      </c>
      <c r="C12" s="579"/>
      <c r="D12" s="579"/>
      <c r="E12" s="580">
        <f t="shared" si="0"/>
        <v>0</v>
      </c>
      <c r="F12" s="579"/>
      <c r="G12" s="579"/>
      <c r="H12" s="580">
        <f t="shared" si="1"/>
        <v>0</v>
      </c>
    </row>
    <row r="13" spans="1:8" ht="26.55" customHeight="1">
      <c r="A13" s="382">
        <v>3</v>
      </c>
      <c r="B13" s="387" t="s">
        <v>570</v>
      </c>
      <c r="C13" s="579">
        <v>1821169.01</v>
      </c>
      <c r="D13" s="579"/>
      <c r="E13" s="580">
        <f t="shared" si="0"/>
        <v>1821169.01</v>
      </c>
      <c r="F13" s="579">
        <v>1088619.67</v>
      </c>
      <c r="G13" s="579"/>
      <c r="H13" s="580">
        <f t="shared" si="1"/>
        <v>1088619.67</v>
      </c>
    </row>
    <row r="14" spans="1:8" ht="26.55" customHeight="1">
      <c r="A14" s="382">
        <v>4</v>
      </c>
      <c r="B14" s="388" t="s">
        <v>571</v>
      </c>
      <c r="C14" s="579"/>
      <c r="D14" s="579"/>
      <c r="E14" s="580">
        <f t="shared" si="0"/>
        <v>0</v>
      </c>
      <c r="F14" s="579"/>
      <c r="G14" s="579"/>
      <c r="H14" s="580">
        <f t="shared" si="1"/>
        <v>0</v>
      </c>
    </row>
    <row r="15" spans="1:8" ht="24.45" customHeight="1">
      <c r="A15" s="382">
        <v>5</v>
      </c>
      <c r="B15" s="389" t="s">
        <v>572</v>
      </c>
      <c r="C15" s="581">
        <f>SUM(C16:C18)</f>
        <v>0</v>
      </c>
      <c r="D15" s="581">
        <f>SUM(D16:D18)</f>
        <v>0</v>
      </c>
      <c r="E15" s="582">
        <f t="shared" si="0"/>
        <v>0</v>
      </c>
      <c r="F15" s="581">
        <f>SUM(F16:F18)</f>
        <v>0</v>
      </c>
      <c r="G15" s="581">
        <f>SUM(G16:G18)</f>
        <v>0</v>
      </c>
      <c r="H15" s="582">
        <f t="shared" si="1"/>
        <v>0</v>
      </c>
    </row>
    <row r="16" spans="1:8">
      <c r="A16" s="382">
        <v>5.0999999999999996</v>
      </c>
      <c r="B16" s="390" t="s">
        <v>573</v>
      </c>
      <c r="C16" s="579"/>
      <c r="D16" s="579"/>
      <c r="E16" s="580">
        <f t="shared" si="0"/>
        <v>0</v>
      </c>
      <c r="F16" s="579"/>
      <c r="G16" s="579"/>
      <c r="H16" s="580">
        <f t="shared" si="1"/>
        <v>0</v>
      </c>
    </row>
    <row r="17" spans="1:8">
      <c r="A17" s="382">
        <v>5.2</v>
      </c>
      <c r="B17" s="390" t="s">
        <v>574</v>
      </c>
      <c r="C17" s="579"/>
      <c r="D17" s="579"/>
      <c r="E17" s="580">
        <f t="shared" si="0"/>
        <v>0</v>
      </c>
      <c r="F17" s="579"/>
      <c r="G17" s="579"/>
      <c r="H17" s="580">
        <f t="shared" si="1"/>
        <v>0</v>
      </c>
    </row>
    <row r="18" spans="1:8">
      <c r="A18" s="382">
        <v>5.3</v>
      </c>
      <c r="B18" s="391" t="s">
        <v>575</v>
      </c>
      <c r="C18" s="579"/>
      <c r="D18" s="579"/>
      <c r="E18" s="580">
        <f t="shared" si="0"/>
        <v>0</v>
      </c>
      <c r="F18" s="579"/>
      <c r="G18" s="579"/>
      <c r="H18" s="580">
        <f t="shared" si="1"/>
        <v>0</v>
      </c>
    </row>
    <row r="19" spans="1:8">
      <c r="A19" s="382">
        <v>6</v>
      </c>
      <c r="B19" s="387" t="s">
        <v>576</v>
      </c>
      <c r="C19" s="579">
        <f>SUM(C20:C21)</f>
        <v>1823025701.9300001</v>
      </c>
      <c r="D19" s="579">
        <f>SUM(D20:D21)</f>
        <v>207433797</v>
      </c>
      <c r="E19" s="580">
        <f t="shared" si="0"/>
        <v>2030459498.9300001</v>
      </c>
      <c r="F19" s="579">
        <f>SUM(F20:F21)</f>
        <v>1802506845.0922017</v>
      </c>
      <c r="G19" s="579">
        <f>SUM(G20:G21)</f>
        <v>0</v>
      </c>
      <c r="H19" s="580">
        <f t="shared" si="1"/>
        <v>1802506845.0922017</v>
      </c>
    </row>
    <row r="20" spans="1:8">
      <c r="A20" s="382">
        <v>6.1</v>
      </c>
      <c r="B20" s="390" t="s">
        <v>574</v>
      </c>
      <c r="C20" s="579">
        <v>48888517.93</v>
      </c>
      <c r="D20" s="579"/>
      <c r="E20" s="580">
        <f t="shared" si="0"/>
        <v>48888517.93</v>
      </c>
      <c r="F20" s="579">
        <v>48869036.829999998</v>
      </c>
      <c r="G20" s="579"/>
      <c r="H20" s="580">
        <f t="shared" si="1"/>
        <v>48869036.829999998</v>
      </c>
    </row>
    <row r="21" spans="1:8">
      <c r="A21" s="382">
        <v>6.2</v>
      </c>
      <c r="B21" s="391" t="s">
        <v>575</v>
      </c>
      <c r="C21" s="579">
        <v>1774137184</v>
      </c>
      <c r="D21" s="579">
        <v>207433797</v>
      </c>
      <c r="E21" s="580">
        <f t="shared" si="0"/>
        <v>1981570981</v>
      </c>
      <c r="F21" s="579">
        <v>1753637808.2622018</v>
      </c>
      <c r="G21" s="579"/>
      <c r="H21" s="580">
        <f t="shared" si="1"/>
        <v>1753637808.2622018</v>
      </c>
    </row>
    <row r="22" spans="1:8">
      <c r="A22" s="382">
        <v>7</v>
      </c>
      <c r="B22" s="385" t="s">
        <v>577</v>
      </c>
      <c r="C22" s="579"/>
      <c r="D22" s="579"/>
      <c r="E22" s="580">
        <f t="shared" si="0"/>
        <v>0</v>
      </c>
      <c r="F22" s="579"/>
      <c r="G22" s="579"/>
      <c r="H22" s="580">
        <f t="shared" si="1"/>
        <v>0</v>
      </c>
    </row>
    <row r="23" spans="1:8">
      <c r="A23" s="382">
        <v>8</v>
      </c>
      <c r="B23" s="392" t="s">
        <v>578</v>
      </c>
      <c r="C23" s="579"/>
      <c r="D23" s="579"/>
      <c r="E23" s="580">
        <f t="shared" si="0"/>
        <v>0</v>
      </c>
      <c r="F23" s="579"/>
      <c r="G23" s="579"/>
      <c r="H23" s="580">
        <f t="shared" si="1"/>
        <v>0</v>
      </c>
    </row>
    <row r="24" spans="1:8">
      <c r="A24" s="382">
        <v>9</v>
      </c>
      <c r="B24" s="388" t="s">
        <v>579</v>
      </c>
      <c r="C24" s="579">
        <f>SUM(C25:C26)</f>
        <v>45907008.240000017</v>
      </c>
      <c r="D24" s="579">
        <f>SUM(D25:D26)</f>
        <v>0</v>
      </c>
      <c r="E24" s="580">
        <f t="shared" si="0"/>
        <v>45907008.240000017</v>
      </c>
      <c r="F24" s="579">
        <f>SUM(F25:F26)</f>
        <v>34042317.040000007</v>
      </c>
      <c r="G24" s="579">
        <f>SUM(G25:G26)</f>
        <v>0</v>
      </c>
      <c r="H24" s="580">
        <f t="shared" si="1"/>
        <v>34042317.040000007</v>
      </c>
    </row>
    <row r="25" spans="1:8">
      <c r="A25" s="382">
        <v>9.1</v>
      </c>
      <c r="B25" s="390" t="s">
        <v>580</v>
      </c>
      <c r="C25" s="579">
        <v>45907008.240000017</v>
      </c>
      <c r="D25" s="579"/>
      <c r="E25" s="580">
        <f t="shared" si="0"/>
        <v>45907008.240000017</v>
      </c>
      <c r="F25" s="579">
        <v>34042317.040000007</v>
      </c>
      <c r="G25" s="579"/>
      <c r="H25" s="580">
        <f t="shared" si="1"/>
        <v>34042317.040000007</v>
      </c>
    </row>
    <row r="26" spans="1:8">
      <c r="A26" s="382">
        <v>9.1999999999999993</v>
      </c>
      <c r="B26" s="390" t="s">
        <v>581</v>
      </c>
      <c r="C26" s="579"/>
      <c r="D26" s="579"/>
      <c r="E26" s="580">
        <f t="shared" si="0"/>
        <v>0</v>
      </c>
      <c r="F26" s="579"/>
      <c r="G26" s="579"/>
      <c r="H26" s="580">
        <f t="shared" si="1"/>
        <v>0</v>
      </c>
    </row>
    <row r="27" spans="1:8">
      <c r="A27" s="382">
        <v>10</v>
      </c>
      <c r="B27" s="388" t="s">
        <v>582</v>
      </c>
      <c r="C27" s="579">
        <f>SUM(C28:C29)</f>
        <v>24667339.510000005</v>
      </c>
      <c r="D27" s="579">
        <f>SUM(D28:D29)</f>
        <v>0</v>
      </c>
      <c r="E27" s="580">
        <f t="shared" si="0"/>
        <v>24667339.510000005</v>
      </c>
      <c r="F27" s="579">
        <f>SUM(F28:F29)</f>
        <v>21126925.79000001</v>
      </c>
      <c r="G27" s="579">
        <f>SUM(G28:G29)</f>
        <v>0</v>
      </c>
      <c r="H27" s="580">
        <f t="shared" si="1"/>
        <v>21126925.79000001</v>
      </c>
    </row>
    <row r="28" spans="1:8">
      <c r="A28" s="382">
        <v>10.1</v>
      </c>
      <c r="B28" s="390" t="s">
        <v>583</v>
      </c>
      <c r="C28" s="579"/>
      <c r="D28" s="579"/>
      <c r="E28" s="580">
        <f t="shared" si="0"/>
        <v>0</v>
      </c>
      <c r="F28" s="579"/>
      <c r="G28" s="579"/>
      <c r="H28" s="580">
        <f t="shared" si="1"/>
        <v>0</v>
      </c>
    </row>
    <row r="29" spans="1:8">
      <c r="A29" s="382">
        <v>10.199999999999999</v>
      </c>
      <c r="B29" s="390" t="s">
        <v>584</v>
      </c>
      <c r="C29" s="579">
        <v>24667339.510000005</v>
      </c>
      <c r="D29" s="579"/>
      <c r="E29" s="580">
        <f t="shared" si="0"/>
        <v>24667339.510000005</v>
      </c>
      <c r="F29" s="579">
        <v>21126925.79000001</v>
      </c>
      <c r="G29" s="579"/>
      <c r="H29" s="580">
        <f t="shared" si="1"/>
        <v>21126925.79000001</v>
      </c>
    </row>
    <row r="30" spans="1:8">
      <c r="A30" s="382">
        <v>11</v>
      </c>
      <c r="B30" s="388" t="s">
        <v>585</v>
      </c>
      <c r="C30" s="579">
        <f>SUM(C31:C32)</f>
        <v>2160944.36</v>
      </c>
      <c r="D30" s="579">
        <f>SUM(D31:D32)</f>
        <v>0</v>
      </c>
      <c r="E30" s="580">
        <f t="shared" si="0"/>
        <v>2160944.36</v>
      </c>
      <c r="F30" s="579">
        <f>SUM(F31:F32)</f>
        <v>604179.91999999946</v>
      </c>
      <c r="G30" s="579">
        <f>SUM(G31:G32)</f>
        <v>0</v>
      </c>
      <c r="H30" s="580">
        <f t="shared" si="1"/>
        <v>604179.91999999946</v>
      </c>
    </row>
    <row r="31" spans="1:8">
      <c r="A31" s="382">
        <v>11.1</v>
      </c>
      <c r="B31" s="390" t="s">
        <v>586</v>
      </c>
      <c r="C31" s="579">
        <v>2160944.36</v>
      </c>
      <c r="D31" s="579"/>
      <c r="E31" s="580">
        <f t="shared" si="0"/>
        <v>2160944.36</v>
      </c>
      <c r="F31" s="579">
        <v>604179.91999999946</v>
      </c>
      <c r="G31" s="579"/>
      <c r="H31" s="580">
        <f t="shared" si="1"/>
        <v>604179.91999999946</v>
      </c>
    </row>
    <row r="32" spans="1:8">
      <c r="A32" s="382">
        <v>11.2</v>
      </c>
      <c r="B32" s="390" t="s">
        <v>587</v>
      </c>
      <c r="C32" s="579"/>
      <c r="D32" s="579"/>
      <c r="E32" s="580">
        <f t="shared" si="0"/>
        <v>0</v>
      </c>
      <c r="F32" s="579"/>
      <c r="G32" s="579"/>
      <c r="H32" s="580">
        <f t="shared" si="1"/>
        <v>0</v>
      </c>
    </row>
    <row r="33" spans="1:8">
      <c r="A33" s="382">
        <v>13</v>
      </c>
      <c r="B33" s="388" t="s">
        <v>588</v>
      </c>
      <c r="C33" s="579">
        <v>37372555</v>
      </c>
      <c r="D33" s="579">
        <v>6665178</v>
      </c>
      <c r="E33" s="580">
        <f t="shared" si="0"/>
        <v>44037733</v>
      </c>
      <c r="F33" s="579">
        <v>23228672.74000001</v>
      </c>
      <c r="G33" s="579">
        <v>6052848.6199999936</v>
      </c>
      <c r="H33" s="580">
        <f t="shared" si="1"/>
        <v>29281521.360000003</v>
      </c>
    </row>
    <row r="34" spans="1:8">
      <c r="A34" s="382">
        <v>13.1</v>
      </c>
      <c r="B34" s="393" t="s">
        <v>589</v>
      </c>
      <c r="C34" s="579">
        <v>13792672</v>
      </c>
      <c r="D34" s="579"/>
      <c r="E34" s="580">
        <f t="shared" si="0"/>
        <v>13792672</v>
      </c>
      <c r="F34" s="579">
        <v>5366743.6355331717</v>
      </c>
      <c r="G34" s="579"/>
      <c r="H34" s="580">
        <f t="shared" si="1"/>
        <v>5366743.6355331717</v>
      </c>
    </row>
    <row r="35" spans="1:8">
      <c r="A35" s="382">
        <v>13.2</v>
      </c>
      <c r="B35" s="393" t="s">
        <v>590</v>
      </c>
      <c r="C35" s="579"/>
      <c r="D35" s="579"/>
      <c r="E35" s="580">
        <f t="shared" si="0"/>
        <v>0</v>
      </c>
      <c r="F35" s="579"/>
      <c r="G35" s="579"/>
      <c r="H35" s="580">
        <f t="shared" si="1"/>
        <v>0</v>
      </c>
    </row>
    <row r="36" spans="1:8">
      <c r="A36" s="382">
        <v>14</v>
      </c>
      <c r="B36" s="394" t="s">
        <v>591</v>
      </c>
      <c r="C36" s="579">
        <f>SUM(C7,C11,C13,C14,C15,C19,C22,C23,C24,C27,C30,C33)</f>
        <v>2088459245.4300001</v>
      </c>
      <c r="D36" s="579">
        <f>SUM(D7,D11,D13,D14,D15,D19,D22,D23,D24,D27,D30,D33)</f>
        <v>381600624.63</v>
      </c>
      <c r="E36" s="580">
        <f t="shared" si="0"/>
        <v>2470059870.0599999</v>
      </c>
      <c r="F36" s="579">
        <f>SUM(F7,F11,F13,F14,F15,F19,F22,F23,F24,F27,F30,F33)</f>
        <v>2007458712.3322017</v>
      </c>
      <c r="G36" s="579">
        <f>SUM(G7,G11,G13,G14,G15,G19,G22,G23,G24,G27,G30,G33)</f>
        <v>180004460.00999999</v>
      </c>
      <c r="H36" s="580">
        <f t="shared" si="1"/>
        <v>2187463172.3422017</v>
      </c>
    </row>
    <row r="37" spans="1:8" ht="22.5" customHeight="1">
      <c r="A37" s="382"/>
      <c r="B37" s="395" t="s">
        <v>592</v>
      </c>
      <c r="C37" s="721"/>
      <c r="D37" s="722"/>
      <c r="E37" s="722"/>
      <c r="F37" s="722"/>
      <c r="G37" s="722"/>
      <c r="H37" s="723"/>
    </row>
    <row r="38" spans="1:8">
      <c r="A38" s="382">
        <v>15</v>
      </c>
      <c r="B38" s="396" t="s">
        <v>593</v>
      </c>
      <c r="C38" s="583"/>
      <c r="D38" s="583"/>
      <c r="E38" s="584">
        <f>C38+D38</f>
        <v>0</v>
      </c>
      <c r="F38" s="583"/>
      <c r="G38" s="583"/>
      <c r="H38" s="584">
        <f>F38+G38</f>
        <v>0</v>
      </c>
    </row>
    <row r="39" spans="1:8">
      <c r="A39" s="397">
        <v>15.1</v>
      </c>
      <c r="B39" s="398" t="s">
        <v>569</v>
      </c>
      <c r="C39" s="583"/>
      <c r="D39" s="583"/>
      <c r="E39" s="584">
        <f t="shared" ref="E39:E53" si="2">C39+D39</f>
        <v>0</v>
      </c>
      <c r="F39" s="583"/>
      <c r="G39" s="583"/>
      <c r="H39" s="584">
        <f t="shared" ref="H39:H53" si="3">F39+G39</f>
        <v>0</v>
      </c>
    </row>
    <row r="40" spans="1:8" ht="24" customHeight="1">
      <c r="A40" s="397">
        <v>16</v>
      </c>
      <c r="B40" s="385" t="s">
        <v>594</v>
      </c>
      <c r="C40" s="583">
        <v>133466.57</v>
      </c>
      <c r="D40" s="583"/>
      <c r="E40" s="584">
        <f t="shared" si="2"/>
        <v>133466.57</v>
      </c>
      <c r="F40" s="583">
        <v>77542.53</v>
      </c>
      <c r="G40" s="583"/>
      <c r="H40" s="584">
        <f t="shared" si="3"/>
        <v>77542.53</v>
      </c>
    </row>
    <row r="41" spans="1:8">
      <c r="A41" s="397">
        <v>17</v>
      </c>
      <c r="B41" s="385" t="s">
        <v>595</v>
      </c>
      <c r="C41" s="583">
        <f>SUM(C42:C45)</f>
        <v>1440912175.8299999</v>
      </c>
      <c r="D41" s="583">
        <f>SUM(D42:D45)</f>
        <v>538336342.05000007</v>
      </c>
      <c r="E41" s="584">
        <f t="shared" si="2"/>
        <v>1979248517.8800001</v>
      </c>
      <c r="F41" s="583">
        <f>SUM(F42:F45)</f>
        <v>1280316561.1100001</v>
      </c>
      <c r="G41" s="583">
        <f>SUM(G42:G45)</f>
        <v>515093514.68000007</v>
      </c>
      <c r="H41" s="584">
        <f t="shared" si="3"/>
        <v>1795410075.7900002</v>
      </c>
    </row>
    <row r="42" spans="1:8">
      <c r="A42" s="397">
        <v>17.100000000000001</v>
      </c>
      <c r="B42" s="399" t="s">
        <v>596</v>
      </c>
      <c r="C42" s="583">
        <v>620392990</v>
      </c>
      <c r="D42" s="583">
        <v>272891478</v>
      </c>
      <c r="E42" s="584">
        <f t="shared" si="2"/>
        <v>893284468</v>
      </c>
      <c r="F42" s="583">
        <v>464905586.28000009</v>
      </c>
      <c r="G42" s="583">
        <v>214870238.54000008</v>
      </c>
      <c r="H42" s="584">
        <f t="shared" si="3"/>
        <v>679775824.82000017</v>
      </c>
    </row>
    <row r="43" spans="1:8">
      <c r="A43" s="397">
        <v>17.2</v>
      </c>
      <c r="B43" s="400" t="s">
        <v>597</v>
      </c>
      <c r="C43" s="583">
        <v>806381512</v>
      </c>
      <c r="D43" s="583">
        <v>258315197.05000007</v>
      </c>
      <c r="E43" s="584">
        <f t="shared" si="2"/>
        <v>1064696709.0500001</v>
      </c>
      <c r="F43" s="583">
        <v>805965218.51999998</v>
      </c>
      <c r="G43" s="583">
        <v>292700602.76999998</v>
      </c>
      <c r="H43" s="584">
        <f t="shared" si="3"/>
        <v>1098665821.29</v>
      </c>
    </row>
    <row r="44" spans="1:8">
      <c r="A44" s="397">
        <v>17.3</v>
      </c>
      <c r="B44" s="399" t="s">
        <v>598</v>
      </c>
      <c r="C44" s="583"/>
      <c r="D44" s="583"/>
      <c r="E44" s="584">
        <f t="shared" si="2"/>
        <v>0</v>
      </c>
      <c r="F44" s="583"/>
      <c r="G44" s="583"/>
      <c r="H44" s="584">
        <f t="shared" si="3"/>
        <v>0</v>
      </c>
    </row>
    <row r="45" spans="1:8">
      <c r="A45" s="397">
        <v>17.399999999999999</v>
      </c>
      <c r="B45" s="399" t="s">
        <v>599</v>
      </c>
      <c r="C45" s="583">
        <v>14137673.83</v>
      </c>
      <c r="D45" s="583">
        <v>7129667</v>
      </c>
      <c r="E45" s="584">
        <f t="shared" si="2"/>
        <v>21267340.829999998</v>
      </c>
      <c r="F45" s="583">
        <v>9445756.3100000005</v>
      </c>
      <c r="G45" s="583">
        <v>7522673.3700000001</v>
      </c>
      <c r="H45" s="584">
        <f t="shared" si="3"/>
        <v>16968429.68</v>
      </c>
    </row>
    <row r="46" spans="1:8">
      <c r="A46" s="397">
        <v>18</v>
      </c>
      <c r="B46" s="388" t="s">
        <v>600</v>
      </c>
      <c r="C46" s="583"/>
      <c r="D46" s="583"/>
      <c r="E46" s="584">
        <f t="shared" si="2"/>
        <v>0</v>
      </c>
      <c r="F46" s="583"/>
      <c r="G46" s="583"/>
      <c r="H46" s="584">
        <f t="shared" si="3"/>
        <v>0</v>
      </c>
    </row>
    <row r="47" spans="1:8">
      <c r="A47" s="397">
        <v>19</v>
      </c>
      <c r="B47" s="388" t="s">
        <v>601</v>
      </c>
      <c r="C47" s="583">
        <f>SUM(C48:C49)</f>
        <v>5100593.9399999985</v>
      </c>
      <c r="D47" s="583">
        <f>SUM(D48:D49)</f>
        <v>0</v>
      </c>
      <c r="E47" s="584">
        <f t="shared" si="2"/>
        <v>5100593.9399999985</v>
      </c>
      <c r="F47" s="583">
        <f>SUM(F48:F49)</f>
        <v>1894383.16</v>
      </c>
      <c r="G47" s="583">
        <f>SUM(G48:G49)</f>
        <v>0</v>
      </c>
      <c r="H47" s="584">
        <f t="shared" si="3"/>
        <v>1894383.16</v>
      </c>
    </row>
    <row r="48" spans="1:8">
      <c r="A48" s="397">
        <v>19.100000000000001</v>
      </c>
      <c r="B48" s="401" t="s">
        <v>602</v>
      </c>
      <c r="C48" s="583"/>
      <c r="D48" s="583"/>
      <c r="E48" s="584">
        <f t="shared" si="2"/>
        <v>0</v>
      </c>
      <c r="F48" s="583"/>
      <c r="G48" s="583"/>
      <c r="H48" s="584">
        <f t="shared" si="3"/>
        <v>0</v>
      </c>
    </row>
    <row r="49" spans="1:8">
      <c r="A49" s="397">
        <v>19.2</v>
      </c>
      <c r="B49" s="402" t="s">
        <v>603</v>
      </c>
      <c r="C49" s="583">
        <v>5100593.9399999985</v>
      </c>
      <c r="D49" s="583"/>
      <c r="E49" s="584">
        <f t="shared" si="2"/>
        <v>5100593.9399999985</v>
      </c>
      <c r="F49" s="583">
        <v>1894383.16</v>
      </c>
      <c r="G49" s="583"/>
      <c r="H49" s="584">
        <f t="shared" si="3"/>
        <v>1894383.16</v>
      </c>
    </row>
    <row r="50" spans="1:8">
      <c r="A50" s="397">
        <v>20</v>
      </c>
      <c r="B50" s="403" t="s">
        <v>604</v>
      </c>
      <c r="C50" s="583">
        <v>62697744.160000004</v>
      </c>
      <c r="D50" s="583">
        <v>64538789.809999995</v>
      </c>
      <c r="E50" s="584">
        <f t="shared" si="2"/>
        <v>127236533.97</v>
      </c>
      <c r="F50" s="583">
        <v>62633031.389999993</v>
      </c>
      <c r="G50" s="583">
        <v>20889548.589999996</v>
      </c>
      <c r="H50" s="584">
        <f t="shared" si="3"/>
        <v>83522579.979999989</v>
      </c>
    </row>
    <row r="51" spans="1:8">
      <c r="A51" s="397">
        <v>21</v>
      </c>
      <c r="B51" s="392" t="s">
        <v>605</v>
      </c>
      <c r="C51" s="583">
        <v>44537151.799999997</v>
      </c>
      <c r="D51" s="583">
        <v>6884053.5999999996</v>
      </c>
      <c r="E51" s="584">
        <f t="shared" si="2"/>
        <v>51421205.399999999</v>
      </c>
      <c r="F51" s="583">
        <v>35296053</v>
      </c>
      <c r="G51" s="583">
        <v>4554603.1900000097</v>
      </c>
      <c r="H51" s="584">
        <f t="shared" si="3"/>
        <v>39850656.190000013</v>
      </c>
    </row>
    <row r="52" spans="1:8">
      <c r="A52" s="397">
        <v>21.1</v>
      </c>
      <c r="B52" s="400" t="s">
        <v>606</v>
      </c>
      <c r="C52" s="583"/>
      <c r="D52" s="583"/>
      <c r="E52" s="584">
        <f t="shared" si="2"/>
        <v>0</v>
      </c>
      <c r="F52" s="583"/>
      <c r="G52" s="583"/>
      <c r="H52" s="584">
        <f t="shared" si="3"/>
        <v>0</v>
      </c>
    </row>
    <row r="53" spans="1:8">
      <c r="A53" s="397">
        <v>22</v>
      </c>
      <c r="B53" s="404" t="s">
        <v>607</v>
      </c>
      <c r="C53" s="583">
        <f>SUM(C38,C40,C41,C46,C47,C50,C51)</f>
        <v>1553381132.3</v>
      </c>
      <c r="D53" s="583">
        <f>SUM(D38,D40,D41,D46,D47,D50,D51)</f>
        <v>609759185.46000004</v>
      </c>
      <c r="E53" s="584">
        <f t="shared" si="2"/>
        <v>2163140317.7600002</v>
      </c>
      <c r="F53" s="583">
        <f>SUM(F38,F40,F41,F46,F47,F50,F51)</f>
        <v>1380217571.1900003</v>
      </c>
      <c r="G53" s="583">
        <f>SUM(G38,G40,G41,G46,G47,G50,G51)</f>
        <v>540537666.46000004</v>
      </c>
      <c r="H53" s="584">
        <f t="shared" si="3"/>
        <v>1920755237.6500003</v>
      </c>
    </row>
    <row r="54" spans="1:8" ht="24" customHeight="1">
      <c r="A54" s="397"/>
      <c r="B54" s="405" t="s">
        <v>608</v>
      </c>
      <c r="C54" s="710"/>
      <c r="D54" s="711"/>
      <c r="E54" s="711"/>
      <c r="F54" s="711"/>
      <c r="G54" s="711"/>
      <c r="H54" s="712"/>
    </row>
    <row r="55" spans="1:8">
      <c r="A55" s="397">
        <v>23</v>
      </c>
      <c r="B55" s="403" t="s">
        <v>609</v>
      </c>
      <c r="C55" s="583">
        <v>5210230</v>
      </c>
      <c r="D55" s="583"/>
      <c r="E55" s="584">
        <f>C55+D55</f>
        <v>5210230</v>
      </c>
      <c r="F55" s="583">
        <v>5186820</v>
      </c>
      <c r="G55" s="583"/>
      <c r="H55" s="584">
        <f>F55+G55</f>
        <v>5186820</v>
      </c>
    </row>
    <row r="56" spans="1:8">
      <c r="A56" s="397">
        <v>24</v>
      </c>
      <c r="B56" s="403" t="s">
        <v>610</v>
      </c>
      <c r="C56" s="583"/>
      <c r="D56" s="583"/>
      <c r="E56" s="584">
        <f t="shared" ref="E56:E69" si="4">C56+D56</f>
        <v>0</v>
      </c>
      <c r="F56" s="583"/>
      <c r="G56" s="583"/>
      <c r="H56" s="584">
        <f t="shared" ref="H56:H69" si="5">F56+G56</f>
        <v>0</v>
      </c>
    </row>
    <row r="57" spans="1:8">
      <c r="A57" s="397">
        <v>25</v>
      </c>
      <c r="B57" s="388" t="s">
        <v>611</v>
      </c>
      <c r="C57" s="583">
        <v>37102057.520000003</v>
      </c>
      <c r="D57" s="583"/>
      <c r="E57" s="584">
        <f t="shared" si="4"/>
        <v>37102057.520000003</v>
      </c>
      <c r="F57" s="583">
        <v>35681935.310000002</v>
      </c>
      <c r="G57" s="583"/>
      <c r="H57" s="584">
        <f t="shared" si="5"/>
        <v>35681935.310000002</v>
      </c>
    </row>
    <row r="58" spans="1:8">
      <c r="A58" s="397">
        <v>26</v>
      </c>
      <c r="B58" s="388" t="s">
        <v>612</v>
      </c>
      <c r="C58" s="583"/>
      <c r="D58" s="583"/>
      <c r="E58" s="584">
        <f t="shared" si="4"/>
        <v>0</v>
      </c>
      <c r="F58" s="583"/>
      <c r="G58" s="583"/>
      <c r="H58" s="584">
        <f t="shared" si="5"/>
        <v>0</v>
      </c>
    </row>
    <row r="59" spans="1:8">
      <c r="A59" s="397">
        <v>27</v>
      </c>
      <c r="B59" s="388" t="s">
        <v>613</v>
      </c>
      <c r="C59" s="583">
        <f>SUM(C60:C61)</f>
        <v>0</v>
      </c>
      <c r="D59" s="583">
        <f>SUM(D60:D61)</f>
        <v>0</v>
      </c>
      <c r="E59" s="584">
        <f t="shared" si="4"/>
        <v>0</v>
      </c>
      <c r="F59" s="583"/>
      <c r="G59" s="583"/>
      <c r="H59" s="584">
        <f t="shared" si="5"/>
        <v>0</v>
      </c>
    </row>
    <row r="60" spans="1:8">
      <c r="A60" s="397">
        <v>27.1</v>
      </c>
      <c r="B60" s="399" t="s">
        <v>614</v>
      </c>
      <c r="C60" s="583"/>
      <c r="D60" s="583"/>
      <c r="E60" s="584">
        <f t="shared" si="4"/>
        <v>0</v>
      </c>
      <c r="F60" s="583"/>
      <c r="G60" s="583"/>
      <c r="H60" s="584">
        <f t="shared" si="5"/>
        <v>0</v>
      </c>
    </row>
    <row r="61" spans="1:8">
      <c r="A61" s="397">
        <v>27.2</v>
      </c>
      <c r="B61" s="399" t="s">
        <v>615</v>
      </c>
      <c r="C61" s="583"/>
      <c r="D61" s="583"/>
      <c r="E61" s="584">
        <f t="shared" si="4"/>
        <v>0</v>
      </c>
      <c r="F61" s="583"/>
      <c r="G61" s="583"/>
      <c r="H61" s="584">
        <f t="shared" si="5"/>
        <v>0</v>
      </c>
    </row>
    <row r="62" spans="1:8">
      <c r="A62" s="397">
        <v>28</v>
      </c>
      <c r="B62" s="406" t="s">
        <v>616</v>
      </c>
      <c r="C62" s="583"/>
      <c r="D62" s="583"/>
      <c r="E62" s="584">
        <f t="shared" si="4"/>
        <v>0</v>
      </c>
      <c r="F62" s="583"/>
      <c r="G62" s="583"/>
      <c r="H62" s="584">
        <f t="shared" si="5"/>
        <v>0</v>
      </c>
    </row>
    <row r="63" spans="1:8">
      <c r="A63" s="397">
        <v>29</v>
      </c>
      <c r="B63" s="388" t="s">
        <v>617</v>
      </c>
      <c r="C63" s="583">
        <f>SUM(C64:C66)</f>
        <v>0</v>
      </c>
      <c r="D63" s="583">
        <f>SUM(D64:D66)</f>
        <v>0</v>
      </c>
      <c r="E63" s="584">
        <f t="shared" si="4"/>
        <v>0</v>
      </c>
      <c r="F63" s="583"/>
      <c r="G63" s="583"/>
      <c r="H63" s="584">
        <f t="shared" si="5"/>
        <v>0</v>
      </c>
    </row>
    <row r="64" spans="1:8">
      <c r="A64" s="397">
        <v>29.1</v>
      </c>
      <c r="B64" s="391" t="s">
        <v>618</v>
      </c>
      <c r="C64" s="583"/>
      <c r="D64" s="583"/>
      <c r="E64" s="584">
        <f t="shared" si="4"/>
        <v>0</v>
      </c>
      <c r="F64" s="583"/>
      <c r="G64" s="583"/>
      <c r="H64" s="584">
        <f t="shared" si="5"/>
        <v>0</v>
      </c>
    </row>
    <row r="65" spans="1:8" ht="25.05" customHeight="1">
      <c r="A65" s="397">
        <v>29.2</v>
      </c>
      <c r="B65" s="401" t="s">
        <v>619</v>
      </c>
      <c r="C65" s="583"/>
      <c r="D65" s="583"/>
      <c r="E65" s="584">
        <f t="shared" si="4"/>
        <v>0</v>
      </c>
      <c r="F65" s="583"/>
      <c r="G65" s="583"/>
      <c r="H65" s="584">
        <f t="shared" si="5"/>
        <v>0</v>
      </c>
    </row>
    <row r="66" spans="1:8" ht="22.5" customHeight="1">
      <c r="A66" s="397">
        <v>29.3</v>
      </c>
      <c r="B66" s="401" t="s">
        <v>620</v>
      </c>
      <c r="C66" s="583"/>
      <c r="D66" s="583"/>
      <c r="E66" s="584">
        <f t="shared" si="4"/>
        <v>0</v>
      </c>
      <c r="F66" s="583"/>
      <c r="G66" s="583"/>
      <c r="H66" s="584">
        <f t="shared" si="5"/>
        <v>0</v>
      </c>
    </row>
    <row r="67" spans="1:8">
      <c r="A67" s="397">
        <v>30</v>
      </c>
      <c r="B67" s="388" t="s">
        <v>621</v>
      </c>
      <c r="C67" s="583">
        <v>264607265.16002703</v>
      </c>
      <c r="D67" s="583"/>
      <c r="E67" s="584">
        <f t="shared" si="4"/>
        <v>264607265.16002703</v>
      </c>
      <c r="F67" s="583">
        <v>225839179.50999999</v>
      </c>
      <c r="G67" s="583"/>
      <c r="H67" s="584">
        <f t="shared" si="5"/>
        <v>225839179.50999999</v>
      </c>
    </row>
    <row r="68" spans="1:8">
      <c r="A68" s="397">
        <v>31</v>
      </c>
      <c r="B68" s="407" t="s">
        <v>622</v>
      </c>
      <c r="C68" s="583">
        <f>SUM(C55,C56,C57,C58,C59,C62,C63,C67)</f>
        <v>306919552.68002701</v>
      </c>
      <c r="D68" s="583">
        <f>SUM(D55,D56,D57,D58,D59,D62,D63,D67)</f>
        <v>0</v>
      </c>
      <c r="E68" s="584">
        <f t="shared" si="4"/>
        <v>306919552.68002701</v>
      </c>
      <c r="F68" s="583">
        <f>SUM(F55,F56,F57,F58,F59,F62,F63,F67)</f>
        <v>266707934.81999999</v>
      </c>
      <c r="G68" s="583">
        <f>SUM(G55,G56,G57,G58,G59,G62,G63,G67)</f>
        <v>0</v>
      </c>
      <c r="H68" s="584">
        <f t="shared" si="5"/>
        <v>266707934.81999999</v>
      </c>
    </row>
    <row r="69" spans="1:8">
      <c r="A69" s="397">
        <v>32</v>
      </c>
      <c r="B69" s="408" t="s">
        <v>623</v>
      </c>
      <c r="C69" s="583">
        <f>SUM(C53,C68)</f>
        <v>1860300684.980027</v>
      </c>
      <c r="D69" s="583">
        <f>SUM(D53,D68)</f>
        <v>609759185.46000004</v>
      </c>
      <c r="E69" s="584">
        <f t="shared" si="4"/>
        <v>2470059870.4400272</v>
      </c>
      <c r="F69" s="583">
        <f>SUM(F53,F68)</f>
        <v>1646925506.0100002</v>
      </c>
      <c r="G69" s="583">
        <f>SUM(G53,G68)</f>
        <v>540537666.46000004</v>
      </c>
      <c r="H69" s="584">
        <f t="shared" si="5"/>
        <v>2187463172.4700003</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topLeftCell="A26" zoomScale="80" zoomScaleNormal="80" workbookViewId="0">
      <selection activeCell="C44" sqref="C44"/>
    </sheetView>
  </sheetViews>
  <sheetFormatPr defaultRowHeight="14.4"/>
  <cols>
    <col min="2" max="2" width="66.6640625" customWidth="1"/>
    <col min="3" max="8" width="17.77734375" customWidth="1"/>
  </cols>
  <sheetData>
    <row r="1" spans="1:8" s="5" customFormat="1" ht="13.8">
      <c r="A1" s="2" t="s">
        <v>30</v>
      </c>
      <c r="B1" s="3" t="str">
        <f>'Info '!C2</f>
        <v>JSC "CREDOBANK"</v>
      </c>
      <c r="C1" s="3"/>
      <c r="D1" s="4"/>
      <c r="E1" s="4"/>
      <c r="F1" s="4"/>
      <c r="G1" s="4"/>
    </row>
    <row r="2" spans="1:8" s="5" customFormat="1" ht="13.8">
      <c r="A2" s="2" t="s">
        <v>31</v>
      </c>
      <c r="B2" s="330">
        <f>'1. key ratios '!B2</f>
        <v>45291</v>
      </c>
      <c r="C2" s="3"/>
      <c r="D2" s="4"/>
      <c r="E2" s="4"/>
      <c r="F2" s="4"/>
      <c r="G2" s="4"/>
    </row>
    <row r="4" spans="1:8">
      <c r="A4" s="724" t="s">
        <v>6</v>
      </c>
      <c r="B4" s="726" t="s">
        <v>624</v>
      </c>
      <c r="C4" s="716" t="s">
        <v>561</v>
      </c>
      <c r="D4" s="716"/>
      <c r="E4" s="716"/>
      <c r="F4" s="716" t="s">
        <v>562</v>
      </c>
      <c r="G4" s="716"/>
      <c r="H4" s="717"/>
    </row>
    <row r="5" spans="1:8" ht="15.45" customHeight="1">
      <c r="A5" s="725"/>
      <c r="B5" s="727"/>
      <c r="C5" s="411" t="s">
        <v>32</v>
      </c>
      <c r="D5" s="411" t="s">
        <v>33</v>
      </c>
      <c r="E5" s="411" t="s">
        <v>34</v>
      </c>
      <c r="F5" s="411" t="s">
        <v>32</v>
      </c>
      <c r="G5" s="411" t="s">
        <v>33</v>
      </c>
      <c r="H5" s="411" t="s">
        <v>34</v>
      </c>
    </row>
    <row r="6" spans="1:8">
      <c r="A6" s="412">
        <v>1</v>
      </c>
      <c r="B6" s="413" t="s">
        <v>625</v>
      </c>
      <c r="C6" s="583">
        <f>SUM(C7:C12)</f>
        <v>433582023</v>
      </c>
      <c r="D6" s="583">
        <f>SUM(D7:D12)</f>
        <v>19720561</v>
      </c>
      <c r="E6" s="584">
        <f>C6+D6</f>
        <v>453302584</v>
      </c>
      <c r="F6" s="583">
        <f>SUM(F7:F12)</f>
        <v>404879681</v>
      </c>
      <c r="G6" s="583">
        <f>SUM(G7:G12)</f>
        <v>11517559.630000055</v>
      </c>
      <c r="H6" s="584">
        <f>F6+G6</f>
        <v>416397240.63000005</v>
      </c>
    </row>
    <row r="7" spans="1:8">
      <c r="A7" s="412">
        <v>1.1000000000000001</v>
      </c>
      <c r="B7" s="401" t="s">
        <v>568</v>
      </c>
      <c r="C7" s="583"/>
      <c r="D7" s="583"/>
      <c r="E7" s="584">
        <f t="shared" ref="E7:E45" si="0">C7+D7</f>
        <v>0</v>
      </c>
      <c r="F7" s="583"/>
      <c r="G7" s="583"/>
      <c r="H7" s="584">
        <f t="shared" ref="H7:H45" si="1">F7+G7</f>
        <v>0</v>
      </c>
    </row>
    <row r="8" spans="1:8">
      <c r="A8" s="412">
        <v>1.2</v>
      </c>
      <c r="B8" s="401" t="s">
        <v>570</v>
      </c>
      <c r="C8" s="583"/>
      <c r="D8" s="583"/>
      <c r="E8" s="584">
        <f t="shared" si="0"/>
        <v>0</v>
      </c>
      <c r="F8" s="583"/>
      <c r="G8" s="583"/>
      <c r="H8" s="584">
        <f t="shared" si="1"/>
        <v>0</v>
      </c>
    </row>
    <row r="9" spans="1:8" ht="21.45" customHeight="1">
      <c r="A9" s="412">
        <v>1.3</v>
      </c>
      <c r="B9" s="401" t="s">
        <v>626</v>
      </c>
      <c r="C9" s="583"/>
      <c r="D9" s="583"/>
      <c r="E9" s="584">
        <f t="shared" si="0"/>
        <v>0</v>
      </c>
      <c r="F9" s="583"/>
      <c r="G9" s="583"/>
      <c r="H9" s="584">
        <f t="shared" si="1"/>
        <v>0</v>
      </c>
    </row>
    <row r="10" spans="1:8">
      <c r="A10" s="412">
        <v>1.4</v>
      </c>
      <c r="B10" s="401" t="s">
        <v>572</v>
      </c>
      <c r="C10" s="583"/>
      <c r="D10" s="583"/>
      <c r="E10" s="584">
        <f t="shared" si="0"/>
        <v>0</v>
      </c>
      <c r="F10" s="583"/>
      <c r="G10" s="583"/>
      <c r="H10" s="584">
        <f t="shared" si="1"/>
        <v>0</v>
      </c>
    </row>
    <row r="11" spans="1:8">
      <c r="A11" s="412">
        <v>1.5</v>
      </c>
      <c r="B11" s="401" t="s">
        <v>576</v>
      </c>
      <c r="C11" s="583">
        <v>433582023</v>
      </c>
      <c r="D11" s="583">
        <v>19720561</v>
      </c>
      <c r="E11" s="584">
        <f t="shared" si="0"/>
        <v>453302584</v>
      </c>
      <c r="F11" s="583">
        <v>404879681</v>
      </c>
      <c r="G11" s="583">
        <v>11517559.630000055</v>
      </c>
      <c r="H11" s="584">
        <f t="shared" si="1"/>
        <v>416397240.63000005</v>
      </c>
    </row>
    <row r="12" spans="1:8">
      <c r="A12" s="412">
        <v>1.6</v>
      </c>
      <c r="B12" s="402" t="s">
        <v>456</v>
      </c>
      <c r="C12" s="583"/>
      <c r="D12" s="583"/>
      <c r="E12" s="584">
        <f t="shared" si="0"/>
        <v>0</v>
      </c>
      <c r="F12" s="583"/>
      <c r="G12" s="583"/>
      <c r="H12" s="584">
        <f t="shared" si="1"/>
        <v>0</v>
      </c>
    </row>
    <row r="13" spans="1:8">
      <c r="A13" s="412">
        <v>2</v>
      </c>
      <c r="B13" s="414" t="s">
        <v>627</v>
      </c>
      <c r="C13" s="583">
        <f>SUM(C14:C17)</f>
        <v>-182699715</v>
      </c>
      <c r="D13" s="583">
        <f>SUM(D14:D17)</f>
        <v>-18541862.120000005</v>
      </c>
      <c r="E13" s="584">
        <f t="shared" si="0"/>
        <v>-201241577.12</v>
      </c>
      <c r="F13" s="583">
        <f>SUM(F14:F17)</f>
        <v>-174870588</v>
      </c>
      <c r="G13" s="583">
        <f>SUM(G14:G17)</f>
        <v>-10878839.090000033</v>
      </c>
      <c r="H13" s="584">
        <f t="shared" si="1"/>
        <v>-185749427.09000003</v>
      </c>
    </row>
    <row r="14" spans="1:8">
      <c r="A14" s="412">
        <v>2.1</v>
      </c>
      <c r="B14" s="401" t="s">
        <v>628</v>
      </c>
      <c r="C14" s="583"/>
      <c r="D14" s="583"/>
      <c r="E14" s="584">
        <f t="shared" si="0"/>
        <v>0</v>
      </c>
      <c r="F14" s="583"/>
      <c r="G14" s="583"/>
      <c r="H14" s="584">
        <f t="shared" si="1"/>
        <v>0</v>
      </c>
    </row>
    <row r="15" spans="1:8" ht="24.45" customHeight="1">
      <c r="A15" s="412">
        <v>2.2000000000000002</v>
      </c>
      <c r="B15" s="401" t="s">
        <v>629</v>
      </c>
      <c r="C15" s="583"/>
      <c r="D15" s="583"/>
      <c r="E15" s="584">
        <f t="shared" si="0"/>
        <v>0</v>
      </c>
      <c r="F15" s="583"/>
      <c r="G15" s="583"/>
      <c r="H15" s="584">
        <f t="shared" si="1"/>
        <v>0</v>
      </c>
    </row>
    <row r="16" spans="1:8" ht="20.55" customHeight="1">
      <c r="A16" s="412">
        <v>2.2999999999999998</v>
      </c>
      <c r="B16" s="401" t="s">
        <v>630</v>
      </c>
      <c r="C16" s="583">
        <v>-182699715</v>
      </c>
      <c r="D16" s="583">
        <v>-18541862.120000005</v>
      </c>
      <c r="E16" s="584">
        <f t="shared" si="0"/>
        <v>-201241577.12</v>
      </c>
      <c r="F16" s="583">
        <v>-174870588</v>
      </c>
      <c r="G16" s="583">
        <v>-10878839.090000033</v>
      </c>
      <c r="H16" s="584">
        <f t="shared" si="1"/>
        <v>-185749427.09000003</v>
      </c>
    </row>
    <row r="17" spans="1:8">
      <c r="A17" s="412">
        <v>2.4</v>
      </c>
      <c r="B17" s="401" t="s">
        <v>631</v>
      </c>
      <c r="C17" s="583"/>
      <c r="D17" s="583"/>
      <c r="E17" s="584">
        <f t="shared" si="0"/>
        <v>0</v>
      </c>
      <c r="F17" s="583"/>
      <c r="G17" s="583"/>
      <c r="H17" s="584">
        <f t="shared" si="1"/>
        <v>0</v>
      </c>
    </row>
    <row r="18" spans="1:8">
      <c r="A18" s="412">
        <v>3</v>
      </c>
      <c r="B18" s="414" t="s">
        <v>632</v>
      </c>
      <c r="C18" s="583"/>
      <c r="D18" s="583"/>
      <c r="E18" s="584">
        <f t="shared" si="0"/>
        <v>0</v>
      </c>
      <c r="F18" s="583"/>
      <c r="G18" s="583"/>
      <c r="H18" s="584">
        <f t="shared" si="1"/>
        <v>0</v>
      </c>
    </row>
    <row r="19" spans="1:8">
      <c r="A19" s="412">
        <v>4</v>
      </c>
      <c r="B19" s="414" t="s">
        <v>633</v>
      </c>
      <c r="C19" s="583">
        <v>47843989</v>
      </c>
      <c r="D19" s="583">
        <v>5248554</v>
      </c>
      <c r="E19" s="584">
        <f t="shared" si="0"/>
        <v>53092543</v>
      </c>
      <c r="F19" s="583">
        <v>44349070.469999999</v>
      </c>
      <c r="G19" s="583">
        <v>3188178.6799999997</v>
      </c>
      <c r="H19" s="584">
        <f t="shared" si="1"/>
        <v>47537249.149999999</v>
      </c>
    </row>
    <row r="20" spans="1:8">
      <c r="A20" s="412">
        <v>5</v>
      </c>
      <c r="B20" s="414" t="s">
        <v>634</v>
      </c>
      <c r="C20" s="583">
        <v>-15658803</v>
      </c>
      <c r="D20" s="583">
        <v>-7460021.6999999993</v>
      </c>
      <c r="E20" s="584">
        <f t="shared" si="0"/>
        <v>-23118824.699999999</v>
      </c>
      <c r="F20" s="583">
        <v>-13527124.18</v>
      </c>
      <c r="G20" s="583">
        <v>-4155754.2399999984</v>
      </c>
      <c r="H20" s="584">
        <f t="shared" si="1"/>
        <v>-17682878.419999998</v>
      </c>
    </row>
    <row r="21" spans="1:8" ht="24" customHeight="1">
      <c r="A21" s="412">
        <v>6</v>
      </c>
      <c r="B21" s="414" t="s">
        <v>635</v>
      </c>
      <c r="C21" s="583"/>
      <c r="D21" s="583"/>
      <c r="E21" s="584">
        <f t="shared" si="0"/>
        <v>0</v>
      </c>
      <c r="F21" s="583"/>
      <c r="G21" s="583"/>
      <c r="H21" s="584">
        <f t="shared" si="1"/>
        <v>0</v>
      </c>
    </row>
    <row r="22" spans="1:8" ht="18.45" customHeight="1">
      <c r="A22" s="412">
        <v>7</v>
      </c>
      <c r="B22" s="414" t="s">
        <v>636</v>
      </c>
      <c r="C22" s="583"/>
      <c r="D22" s="583"/>
      <c r="E22" s="584">
        <f t="shared" si="0"/>
        <v>0</v>
      </c>
      <c r="F22" s="583"/>
      <c r="G22" s="583"/>
      <c r="H22" s="584">
        <f t="shared" si="1"/>
        <v>0</v>
      </c>
    </row>
    <row r="23" spans="1:8" ht="25.5" customHeight="1">
      <c r="A23" s="412">
        <v>8</v>
      </c>
      <c r="B23" s="415" t="s">
        <v>637</v>
      </c>
      <c r="C23" s="583"/>
      <c r="D23" s="583"/>
      <c r="E23" s="584">
        <f t="shared" si="0"/>
        <v>0</v>
      </c>
      <c r="F23" s="583"/>
      <c r="G23" s="583"/>
      <c r="H23" s="584">
        <f t="shared" si="1"/>
        <v>0</v>
      </c>
    </row>
    <row r="24" spans="1:8" ht="34.5" customHeight="1">
      <c r="A24" s="412">
        <v>9</v>
      </c>
      <c r="B24" s="415" t="s">
        <v>638</v>
      </c>
      <c r="C24" s="583">
        <v>-11916617.960000014</v>
      </c>
      <c r="D24" s="583"/>
      <c r="E24" s="584">
        <f t="shared" si="0"/>
        <v>-11916617.960000014</v>
      </c>
      <c r="F24" s="583">
        <v>-17373881.370000001</v>
      </c>
      <c r="G24" s="583"/>
      <c r="H24" s="584">
        <f t="shared" si="1"/>
        <v>-17373881.370000001</v>
      </c>
    </row>
    <row r="25" spans="1:8">
      <c r="A25" s="412">
        <v>10</v>
      </c>
      <c r="B25" s="414" t="s">
        <v>639</v>
      </c>
      <c r="C25" s="583">
        <v>-2938306.110000086</v>
      </c>
      <c r="D25" s="583"/>
      <c r="E25" s="584">
        <f t="shared" si="0"/>
        <v>-2938306.110000086</v>
      </c>
      <c r="F25" s="583">
        <v>8840660.2699998654</v>
      </c>
      <c r="G25" s="583"/>
      <c r="H25" s="584">
        <f t="shared" si="1"/>
        <v>8840660.2699998654</v>
      </c>
    </row>
    <row r="26" spans="1:8">
      <c r="A26" s="412">
        <v>11</v>
      </c>
      <c r="B26" s="416" t="s">
        <v>640</v>
      </c>
      <c r="C26" s="583">
        <v>267372.79999999993</v>
      </c>
      <c r="D26" s="583"/>
      <c r="E26" s="584">
        <f t="shared" si="0"/>
        <v>267372.79999999993</v>
      </c>
      <c r="F26" s="583"/>
      <c r="G26" s="583"/>
      <c r="H26" s="584">
        <f t="shared" si="1"/>
        <v>0</v>
      </c>
    </row>
    <row r="27" spans="1:8">
      <c r="A27" s="412">
        <v>12</v>
      </c>
      <c r="B27" s="414" t="s">
        <v>641</v>
      </c>
      <c r="C27" s="583">
        <v>6209688.2800000003</v>
      </c>
      <c r="D27" s="583"/>
      <c r="E27" s="584">
        <f t="shared" si="0"/>
        <v>6209688.2800000003</v>
      </c>
      <c r="F27" s="583">
        <v>5907795.3099999987</v>
      </c>
      <c r="G27" s="583"/>
      <c r="H27" s="584">
        <f t="shared" si="1"/>
        <v>5907795.3099999987</v>
      </c>
    </row>
    <row r="28" spans="1:8">
      <c r="A28" s="412">
        <v>13</v>
      </c>
      <c r="B28" s="417" t="s">
        <v>642</v>
      </c>
      <c r="C28" s="583">
        <v>-20597977.290000003</v>
      </c>
      <c r="D28" s="583"/>
      <c r="E28" s="584">
        <f t="shared" si="0"/>
        <v>-20597977.290000003</v>
      </c>
      <c r="F28" s="583">
        <v>-21655802</v>
      </c>
      <c r="G28" s="583"/>
      <c r="H28" s="584">
        <f t="shared" si="1"/>
        <v>-21655802</v>
      </c>
    </row>
    <row r="29" spans="1:8">
      <c r="A29" s="412">
        <v>14</v>
      </c>
      <c r="B29" s="418" t="s">
        <v>643</v>
      </c>
      <c r="C29" s="583">
        <f>SUM(C30:C31)</f>
        <v>-126215622.61999999</v>
      </c>
      <c r="D29" s="583">
        <f>SUM(D30:D31)</f>
        <v>0</v>
      </c>
      <c r="E29" s="584">
        <f t="shared" si="0"/>
        <v>-126215622.61999999</v>
      </c>
      <c r="F29" s="583">
        <f>SUM(F30:F31)</f>
        <v>-116841032.68000002</v>
      </c>
      <c r="G29" s="583">
        <f>SUM(G30:G31)</f>
        <v>0</v>
      </c>
      <c r="H29" s="584">
        <f t="shared" si="1"/>
        <v>-116841032.68000002</v>
      </c>
    </row>
    <row r="30" spans="1:8">
      <c r="A30" s="412">
        <v>14.1</v>
      </c>
      <c r="B30" s="390" t="s">
        <v>644</v>
      </c>
      <c r="C30" s="583">
        <v>-116580052.61999999</v>
      </c>
      <c r="D30" s="583"/>
      <c r="E30" s="584">
        <f t="shared" si="0"/>
        <v>-116580052.61999999</v>
      </c>
      <c r="F30" s="583">
        <v>-109558255.48000002</v>
      </c>
      <c r="G30" s="583"/>
      <c r="H30" s="584">
        <f t="shared" si="1"/>
        <v>-109558255.48000002</v>
      </c>
    </row>
    <row r="31" spans="1:8">
      <c r="A31" s="412">
        <v>14.2</v>
      </c>
      <c r="B31" s="390" t="s">
        <v>645</v>
      </c>
      <c r="C31" s="583">
        <v>-9635570</v>
      </c>
      <c r="D31" s="583"/>
      <c r="E31" s="584">
        <f t="shared" si="0"/>
        <v>-9635570</v>
      </c>
      <c r="F31" s="583">
        <v>-7282777.1999999983</v>
      </c>
      <c r="G31" s="583"/>
      <c r="H31" s="584">
        <f t="shared" si="1"/>
        <v>-7282777.1999999983</v>
      </c>
    </row>
    <row r="32" spans="1:8">
      <c r="A32" s="412">
        <v>15</v>
      </c>
      <c r="B32" s="414" t="s">
        <v>646</v>
      </c>
      <c r="C32" s="583">
        <v>-19040014.060000002</v>
      </c>
      <c r="D32" s="583"/>
      <c r="E32" s="584">
        <f t="shared" si="0"/>
        <v>-19040014.060000002</v>
      </c>
      <c r="F32" s="583">
        <v>-18050115.499999996</v>
      </c>
      <c r="G32" s="583"/>
      <c r="H32" s="584">
        <f t="shared" si="1"/>
        <v>-18050115.499999996</v>
      </c>
    </row>
    <row r="33" spans="1:8" ht="22.5" customHeight="1">
      <c r="A33" s="412">
        <v>16</v>
      </c>
      <c r="B33" s="388" t="s">
        <v>647</v>
      </c>
      <c r="C33" s="583"/>
      <c r="D33" s="583"/>
      <c r="E33" s="584">
        <f t="shared" si="0"/>
        <v>0</v>
      </c>
      <c r="F33" s="583"/>
      <c r="G33" s="583"/>
      <c r="H33" s="584">
        <f t="shared" si="1"/>
        <v>0</v>
      </c>
    </row>
    <row r="34" spans="1:8">
      <c r="A34" s="412">
        <v>17</v>
      </c>
      <c r="B34" s="414" t="s">
        <v>648</v>
      </c>
      <c r="C34" s="583">
        <f>SUM(C35:C36)</f>
        <v>0</v>
      </c>
      <c r="D34" s="583">
        <f>SUM(D35:D36)</f>
        <v>0</v>
      </c>
      <c r="E34" s="584">
        <f t="shared" si="0"/>
        <v>0</v>
      </c>
      <c r="F34" s="583">
        <f>SUM(F35:F36)</f>
        <v>0</v>
      </c>
      <c r="G34" s="583">
        <f>SUM(G35:G36)</f>
        <v>0</v>
      </c>
      <c r="H34" s="584">
        <f t="shared" si="1"/>
        <v>0</v>
      </c>
    </row>
    <row r="35" spans="1:8">
      <c r="A35" s="412">
        <v>17.100000000000001</v>
      </c>
      <c r="B35" s="390" t="s">
        <v>649</v>
      </c>
      <c r="C35" s="583"/>
      <c r="D35" s="583"/>
      <c r="E35" s="584">
        <f t="shared" si="0"/>
        <v>0</v>
      </c>
      <c r="F35" s="583"/>
      <c r="G35" s="583"/>
      <c r="H35" s="584">
        <f t="shared" si="1"/>
        <v>0</v>
      </c>
    </row>
    <row r="36" spans="1:8">
      <c r="A36" s="412">
        <v>17.2</v>
      </c>
      <c r="B36" s="390" t="s">
        <v>650</v>
      </c>
      <c r="C36" s="583"/>
      <c r="D36" s="583"/>
      <c r="E36" s="584">
        <f t="shared" si="0"/>
        <v>0</v>
      </c>
      <c r="F36" s="583"/>
      <c r="G36" s="583"/>
      <c r="H36" s="584">
        <f t="shared" si="1"/>
        <v>0</v>
      </c>
    </row>
    <row r="37" spans="1:8" ht="41.55" customHeight="1">
      <c r="A37" s="412">
        <v>18</v>
      </c>
      <c r="B37" s="419" t="s">
        <v>651</v>
      </c>
      <c r="C37" s="583">
        <f>SUM(C38:C39)</f>
        <v>-58264260</v>
      </c>
      <c r="D37" s="583">
        <f>SUM(D38:D39)</f>
        <v>307436</v>
      </c>
      <c r="E37" s="584">
        <f t="shared" si="0"/>
        <v>-57956824</v>
      </c>
      <c r="F37" s="583">
        <f>SUM(F38:F39)</f>
        <v>-48897727.270000003</v>
      </c>
      <c r="G37" s="583">
        <f>SUM(G38:G39)</f>
        <v>3959106.4499999993</v>
      </c>
      <c r="H37" s="584">
        <f t="shared" si="1"/>
        <v>-44938620.820000008</v>
      </c>
    </row>
    <row r="38" spans="1:8">
      <c r="A38" s="412">
        <v>18.100000000000001</v>
      </c>
      <c r="B38" s="420" t="s">
        <v>652</v>
      </c>
      <c r="C38" s="583"/>
      <c r="D38" s="583"/>
      <c r="E38" s="584">
        <f t="shared" si="0"/>
        <v>0</v>
      </c>
      <c r="F38" s="583"/>
      <c r="G38" s="583"/>
      <c r="H38" s="584">
        <f t="shared" si="1"/>
        <v>0</v>
      </c>
    </row>
    <row r="39" spans="1:8">
      <c r="A39" s="412">
        <v>18.2</v>
      </c>
      <c r="B39" s="420" t="s">
        <v>653</v>
      </c>
      <c r="C39" s="583">
        <v>-58264260</v>
      </c>
      <c r="D39" s="583">
        <v>307436</v>
      </c>
      <c r="E39" s="584">
        <f t="shared" si="0"/>
        <v>-57956824</v>
      </c>
      <c r="F39" s="583">
        <v>-48897727.270000003</v>
      </c>
      <c r="G39" s="583">
        <v>3959106.4499999993</v>
      </c>
      <c r="H39" s="584">
        <f t="shared" si="1"/>
        <v>-44938620.820000008</v>
      </c>
    </row>
    <row r="40" spans="1:8" ht="24.45" customHeight="1">
      <c r="A40" s="412">
        <v>19</v>
      </c>
      <c r="B40" s="419" t="s">
        <v>654</v>
      </c>
      <c r="C40" s="583"/>
      <c r="D40" s="583"/>
      <c r="E40" s="584">
        <f t="shared" si="0"/>
        <v>0</v>
      </c>
      <c r="F40" s="583"/>
      <c r="G40" s="583"/>
      <c r="H40" s="584">
        <f t="shared" si="1"/>
        <v>0</v>
      </c>
    </row>
    <row r="41" spans="1:8" ht="17.55" customHeight="1">
      <c r="A41" s="412">
        <v>20</v>
      </c>
      <c r="B41" s="419" t="s">
        <v>655</v>
      </c>
      <c r="C41" s="583">
        <v>-1364405.92</v>
      </c>
      <c r="D41" s="583"/>
      <c r="E41" s="584">
        <f t="shared" si="0"/>
        <v>-1364405.92</v>
      </c>
      <c r="F41" s="583">
        <v>-1496568.4300000002</v>
      </c>
      <c r="G41" s="583"/>
      <c r="H41" s="584">
        <f t="shared" si="1"/>
        <v>-1496568.4300000002</v>
      </c>
    </row>
    <row r="42" spans="1:8" ht="26.55" customHeight="1">
      <c r="A42" s="412">
        <v>21</v>
      </c>
      <c r="B42" s="419" t="s">
        <v>656</v>
      </c>
      <c r="C42" s="583"/>
      <c r="D42" s="583"/>
      <c r="E42" s="584">
        <f t="shared" si="0"/>
        <v>0</v>
      </c>
      <c r="F42" s="583"/>
      <c r="G42" s="583"/>
      <c r="H42" s="584">
        <f t="shared" si="1"/>
        <v>0</v>
      </c>
    </row>
    <row r="43" spans="1:8">
      <c r="A43" s="412">
        <v>22</v>
      </c>
      <c r="B43" s="421" t="s">
        <v>657</v>
      </c>
      <c r="C43" s="583">
        <f>SUM(C6,C13,C18,C19,C20,C21,C22,C23,C24,C25,C26,C27,C28,C29,C32,C33,C34,C37,C40,C41,C42)</f>
        <v>49207351.119999886</v>
      </c>
      <c r="D43" s="583">
        <f>SUM(D6,D13,D18,D19,D20,D21,D22,D23,D24,D25,D26,D27,D28,D29,D32,D33,D34,D37,D40,D41,D42)</f>
        <v>-725332.82000000402</v>
      </c>
      <c r="E43" s="584">
        <f t="shared" si="0"/>
        <v>48482018.299999878</v>
      </c>
      <c r="F43" s="583">
        <f>SUM(F6,F13,F18,F19,F20,F21,F22,F23,F24,F25,F26,F27,F28,F29,F32,F33,F34,F37,F40,F41,F42)</f>
        <v>51264367.619999856</v>
      </c>
      <c r="G43" s="583">
        <f>SUM(G6,G13,G18,G19,G20,G21,G22,G23,G24,G25,G26,G27,G28,G29,G32,G33,G34,G37,G40,G41,G42)</f>
        <v>3630251.4300000221</v>
      </c>
      <c r="H43" s="584">
        <f t="shared" si="1"/>
        <v>54894619.049999878</v>
      </c>
    </row>
    <row r="44" spans="1:8">
      <c r="A44" s="412">
        <v>23</v>
      </c>
      <c r="B44" s="421" t="s">
        <v>658</v>
      </c>
      <c r="C44" s="583">
        <v>7409407.3399999999</v>
      </c>
      <c r="D44" s="583"/>
      <c r="E44" s="584">
        <f t="shared" si="0"/>
        <v>7409407.3399999999</v>
      </c>
      <c r="F44" s="583">
        <v>7378791.9800000004</v>
      </c>
      <c r="G44" s="583"/>
      <c r="H44" s="584">
        <f t="shared" si="1"/>
        <v>7378791.9800000004</v>
      </c>
    </row>
    <row r="45" spans="1:8">
      <c r="A45" s="412">
        <v>24</v>
      </c>
      <c r="B45" s="422" t="s">
        <v>659</v>
      </c>
      <c r="C45" s="583">
        <f>C43-C44</f>
        <v>41797943.779999882</v>
      </c>
      <c r="D45" s="583">
        <f>D43-D44</f>
        <v>-725332.82000000402</v>
      </c>
      <c r="E45" s="584">
        <f t="shared" si="0"/>
        <v>41072610.959999874</v>
      </c>
      <c r="F45" s="583">
        <f>F43-F44</f>
        <v>43885575.639999852</v>
      </c>
      <c r="G45" s="583">
        <f>G43-G44</f>
        <v>3630251.4300000221</v>
      </c>
      <c r="H45" s="584">
        <f t="shared" si="1"/>
        <v>47515827.069999874</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13" zoomScale="70" zoomScaleNormal="70" workbookViewId="0">
      <selection activeCell="F39" sqref="F39:G42"/>
    </sheetView>
  </sheetViews>
  <sheetFormatPr defaultRowHeight="14.4"/>
  <cols>
    <col min="1" max="1" width="8.77734375" style="409"/>
    <col min="2" max="2" width="87.6640625" bestFit="1" customWidth="1"/>
    <col min="3" max="8" width="15.44140625" customWidth="1"/>
  </cols>
  <sheetData>
    <row r="1" spans="1:8" s="5" customFormat="1" ht="13.8">
      <c r="A1" s="2" t="s">
        <v>30</v>
      </c>
      <c r="B1" s="3" t="str">
        <f>'Info '!C2</f>
        <v>JSC "CREDOBANK"</v>
      </c>
      <c r="C1" s="3"/>
      <c r="D1" s="4"/>
      <c r="E1" s="4"/>
      <c r="F1" s="4"/>
      <c r="G1" s="4"/>
    </row>
    <row r="2" spans="1:8" s="5" customFormat="1" ht="13.8">
      <c r="A2" s="2" t="s">
        <v>31</v>
      </c>
      <c r="B2" s="330">
        <f>'1. key ratios '!B2</f>
        <v>45291</v>
      </c>
      <c r="C2" s="3"/>
      <c r="D2" s="4"/>
      <c r="E2" s="4"/>
      <c r="F2" s="4"/>
      <c r="G2" s="4"/>
    </row>
    <row r="3" spans="1:8" ht="15" thickBot="1">
      <c r="A3"/>
    </row>
    <row r="4" spans="1:8">
      <c r="A4" s="728" t="s">
        <v>6</v>
      </c>
      <c r="B4" s="729" t="s">
        <v>95</v>
      </c>
      <c r="C4" s="716" t="s">
        <v>561</v>
      </c>
      <c r="D4" s="716"/>
      <c r="E4" s="716"/>
      <c r="F4" s="716" t="s">
        <v>562</v>
      </c>
      <c r="G4" s="716"/>
      <c r="H4" s="717"/>
    </row>
    <row r="5" spans="1:8">
      <c r="A5" s="728"/>
      <c r="B5" s="729"/>
      <c r="C5" s="411" t="s">
        <v>32</v>
      </c>
      <c r="D5" s="411" t="s">
        <v>33</v>
      </c>
      <c r="E5" s="411" t="s">
        <v>34</v>
      </c>
      <c r="F5" s="411" t="s">
        <v>32</v>
      </c>
      <c r="G5" s="411" t="s">
        <v>33</v>
      </c>
      <c r="H5" s="411" t="s">
        <v>34</v>
      </c>
    </row>
    <row r="6" spans="1:8">
      <c r="A6" s="397">
        <v>1</v>
      </c>
      <c r="B6" s="423" t="s">
        <v>660</v>
      </c>
      <c r="C6" s="585"/>
      <c r="D6" s="585"/>
      <c r="E6" s="586">
        <f t="shared" ref="E6:E43" si="0">C6+D6</f>
        <v>0</v>
      </c>
      <c r="F6" s="585"/>
      <c r="G6" s="585"/>
      <c r="H6" s="587">
        <f t="shared" ref="H6:H43" si="1">F6+G6</f>
        <v>0</v>
      </c>
    </row>
    <row r="7" spans="1:8">
      <c r="A7" s="397">
        <v>2</v>
      </c>
      <c r="B7" s="423" t="s">
        <v>197</v>
      </c>
      <c r="C7" s="585"/>
      <c r="D7" s="585"/>
      <c r="E7" s="586">
        <f t="shared" si="0"/>
        <v>0</v>
      </c>
      <c r="F7" s="585"/>
      <c r="G7" s="585"/>
      <c r="H7" s="587">
        <f t="shared" si="1"/>
        <v>0</v>
      </c>
    </row>
    <row r="8" spans="1:8">
      <c r="A8" s="397">
        <v>3</v>
      </c>
      <c r="B8" s="423" t="s">
        <v>207</v>
      </c>
      <c r="C8" s="585">
        <f>C9+C10</f>
        <v>1205792479.78</v>
      </c>
      <c r="D8" s="585">
        <f>D9+D10</f>
        <v>0</v>
      </c>
      <c r="E8" s="586">
        <f t="shared" si="0"/>
        <v>1205792479.78</v>
      </c>
      <c r="F8" s="585">
        <f>F9+F10</f>
        <v>1078055209.1800001</v>
      </c>
      <c r="G8" s="585">
        <f>G9+G10</f>
        <v>0</v>
      </c>
      <c r="H8" s="587">
        <f t="shared" si="1"/>
        <v>1078055209.1800001</v>
      </c>
    </row>
    <row r="9" spans="1:8">
      <c r="A9" s="397">
        <v>3.1</v>
      </c>
      <c r="B9" s="424" t="s">
        <v>198</v>
      </c>
      <c r="C9" s="585">
        <v>1205526374.78</v>
      </c>
      <c r="D9" s="585"/>
      <c r="E9" s="586">
        <f t="shared" si="0"/>
        <v>1205526374.78</v>
      </c>
      <c r="F9" s="585">
        <v>1077789104.1800001</v>
      </c>
      <c r="G9" s="585"/>
      <c r="H9" s="587">
        <f t="shared" si="1"/>
        <v>1077789104.1800001</v>
      </c>
    </row>
    <row r="10" spans="1:8">
      <c r="A10" s="397">
        <v>3.2</v>
      </c>
      <c r="B10" s="424" t="s">
        <v>194</v>
      </c>
      <c r="C10" s="585">
        <v>266105</v>
      </c>
      <c r="D10" s="585"/>
      <c r="E10" s="586">
        <f t="shared" si="0"/>
        <v>266105</v>
      </c>
      <c r="F10" s="585">
        <v>266105</v>
      </c>
      <c r="G10" s="585"/>
      <c r="H10" s="587">
        <f t="shared" si="1"/>
        <v>266105</v>
      </c>
    </row>
    <row r="11" spans="1:8">
      <c r="A11" s="397">
        <v>4</v>
      </c>
      <c r="B11" s="425" t="s">
        <v>196</v>
      </c>
      <c r="C11" s="585">
        <f>C12+C13</f>
        <v>0</v>
      </c>
      <c r="D11" s="585">
        <f>D12+D13</f>
        <v>0</v>
      </c>
      <c r="E11" s="586">
        <f t="shared" si="0"/>
        <v>0</v>
      </c>
      <c r="F11" s="585">
        <f>F12+F13</f>
        <v>0</v>
      </c>
      <c r="G11" s="585">
        <f>G12+G13</f>
        <v>0</v>
      </c>
      <c r="H11" s="587">
        <f t="shared" si="1"/>
        <v>0</v>
      </c>
    </row>
    <row r="12" spans="1:8">
      <c r="A12" s="397">
        <v>4.0999999999999996</v>
      </c>
      <c r="B12" s="424" t="s">
        <v>180</v>
      </c>
      <c r="C12" s="585"/>
      <c r="D12" s="585"/>
      <c r="E12" s="586">
        <f t="shared" si="0"/>
        <v>0</v>
      </c>
      <c r="F12" s="585"/>
      <c r="G12" s="585"/>
      <c r="H12" s="587">
        <f t="shared" si="1"/>
        <v>0</v>
      </c>
    </row>
    <row r="13" spans="1:8">
      <c r="A13" s="397">
        <v>4.2</v>
      </c>
      <c r="B13" s="424" t="s">
        <v>181</v>
      </c>
      <c r="C13" s="585"/>
      <c r="D13" s="585"/>
      <c r="E13" s="586">
        <f t="shared" si="0"/>
        <v>0</v>
      </c>
      <c r="F13" s="585"/>
      <c r="G13" s="585"/>
      <c r="H13" s="587">
        <f t="shared" si="1"/>
        <v>0</v>
      </c>
    </row>
    <row r="14" spans="1:8">
      <c r="A14" s="397">
        <v>5</v>
      </c>
      <c r="B14" s="425" t="s">
        <v>206</v>
      </c>
      <c r="C14" s="585">
        <f>C15+C16+C17+C23+C24+C25+C26</f>
        <v>1402988476.8299997</v>
      </c>
      <c r="D14" s="585">
        <f>D15+D16+D17+D23+D24+D25+D26</f>
        <v>1344700</v>
      </c>
      <c r="E14" s="586">
        <f t="shared" si="0"/>
        <v>1404333176.8299997</v>
      </c>
      <c r="F14" s="585">
        <f>F15+F16+F17+F23+F24+F25+F26</f>
        <v>1048946872.1900001</v>
      </c>
      <c r="G14" s="585">
        <f>G15+G16+G17+G23+G24+G25+G26</f>
        <v>2702000</v>
      </c>
      <c r="H14" s="587">
        <f t="shared" si="1"/>
        <v>1051648872.1900001</v>
      </c>
    </row>
    <row r="15" spans="1:8">
      <c r="A15" s="397">
        <v>5.0999999999999996</v>
      </c>
      <c r="B15" s="426" t="s">
        <v>184</v>
      </c>
      <c r="C15" s="585">
        <v>14987794.779999999</v>
      </c>
      <c r="D15" s="585">
        <v>1344700</v>
      </c>
      <c r="E15" s="586">
        <f t="shared" si="0"/>
        <v>16332494.779999999</v>
      </c>
      <c r="F15" s="585">
        <v>20218675.539999999</v>
      </c>
      <c r="G15" s="585">
        <v>2702000</v>
      </c>
      <c r="H15" s="587">
        <f t="shared" si="1"/>
        <v>22920675.539999999</v>
      </c>
    </row>
    <row r="16" spans="1:8">
      <c r="A16" s="397">
        <v>5.2</v>
      </c>
      <c r="B16" s="426" t="s">
        <v>183</v>
      </c>
      <c r="C16" s="585">
        <v>5004.78</v>
      </c>
      <c r="D16" s="585"/>
      <c r="E16" s="586">
        <f t="shared" si="0"/>
        <v>5004.78</v>
      </c>
      <c r="F16" s="585">
        <v>45090.78</v>
      </c>
      <c r="G16" s="585"/>
      <c r="H16" s="587">
        <f t="shared" si="1"/>
        <v>45090.78</v>
      </c>
    </row>
    <row r="17" spans="1:8">
      <c r="A17" s="397">
        <v>5.3</v>
      </c>
      <c r="B17" s="426" t="s">
        <v>182</v>
      </c>
      <c r="C17" s="585">
        <f>C18+C19+C20+C21+C22</f>
        <v>1239405818.7399998</v>
      </c>
      <c r="D17" s="585">
        <f>D18+D19+D20+D21+D22</f>
        <v>0</v>
      </c>
      <c r="E17" s="586">
        <f t="shared" si="0"/>
        <v>1239405818.7399998</v>
      </c>
      <c r="F17" s="585">
        <f>F18+F19+F20+F21+F22</f>
        <v>954875671.86000001</v>
      </c>
      <c r="G17" s="585"/>
      <c r="H17" s="587">
        <f t="shared" si="1"/>
        <v>954875671.86000001</v>
      </c>
    </row>
    <row r="18" spans="1:8">
      <c r="A18" s="397" t="s">
        <v>15</v>
      </c>
      <c r="B18" s="427" t="s">
        <v>36</v>
      </c>
      <c r="C18" s="585">
        <v>917850016.11000001</v>
      </c>
      <c r="D18" s="585"/>
      <c r="E18" s="586">
        <f t="shared" si="0"/>
        <v>917850016.11000001</v>
      </c>
      <c r="F18" s="585">
        <v>680468891.78999996</v>
      </c>
      <c r="G18" s="585"/>
      <c r="H18" s="587">
        <f t="shared" si="1"/>
        <v>680468891.78999996</v>
      </c>
    </row>
    <row r="19" spans="1:8">
      <c r="A19" s="397" t="s">
        <v>16</v>
      </c>
      <c r="B19" s="427" t="s">
        <v>37</v>
      </c>
      <c r="C19" s="585">
        <v>159524069.50999999</v>
      </c>
      <c r="D19" s="585"/>
      <c r="E19" s="586">
        <f t="shared" si="0"/>
        <v>159524069.50999999</v>
      </c>
      <c r="F19" s="585">
        <v>152552769.08000001</v>
      </c>
      <c r="G19" s="585"/>
      <c r="H19" s="587">
        <f t="shared" si="1"/>
        <v>152552769.08000001</v>
      </c>
    </row>
    <row r="20" spans="1:8">
      <c r="A20" s="397" t="s">
        <v>17</v>
      </c>
      <c r="B20" s="427" t="s">
        <v>38</v>
      </c>
      <c r="C20" s="585"/>
      <c r="D20" s="585"/>
      <c r="E20" s="586">
        <f t="shared" si="0"/>
        <v>0</v>
      </c>
      <c r="F20" s="585"/>
      <c r="G20" s="585"/>
      <c r="H20" s="587">
        <f t="shared" si="1"/>
        <v>0</v>
      </c>
    </row>
    <row r="21" spans="1:8">
      <c r="A21" s="397" t="s">
        <v>18</v>
      </c>
      <c r="B21" s="427" t="s">
        <v>39</v>
      </c>
      <c r="C21" s="585">
        <v>157637305</v>
      </c>
      <c r="D21" s="585"/>
      <c r="E21" s="586">
        <f t="shared" si="0"/>
        <v>157637305</v>
      </c>
      <c r="F21" s="585">
        <v>117644554</v>
      </c>
      <c r="G21" s="585"/>
      <c r="H21" s="587">
        <f t="shared" si="1"/>
        <v>117644554</v>
      </c>
    </row>
    <row r="22" spans="1:8">
      <c r="A22" s="397" t="s">
        <v>19</v>
      </c>
      <c r="B22" s="427" t="s">
        <v>40</v>
      </c>
      <c r="C22" s="585">
        <v>4394428.12</v>
      </c>
      <c r="D22" s="585"/>
      <c r="E22" s="586">
        <f t="shared" si="0"/>
        <v>4394428.12</v>
      </c>
      <c r="F22" s="585">
        <v>4209456.99</v>
      </c>
      <c r="G22" s="585"/>
      <c r="H22" s="587">
        <f t="shared" si="1"/>
        <v>4209456.99</v>
      </c>
    </row>
    <row r="23" spans="1:8">
      <c r="A23" s="397">
        <v>5.4</v>
      </c>
      <c r="B23" s="426" t="s">
        <v>185</v>
      </c>
      <c r="C23" s="585">
        <v>148589858.53</v>
      </c>
      <c r="D23" s="585"/>
      <c r="E23" s="586">
        <f t="shared" si="0"/>
        <v>148589858.53</v>
      </c>
      <c r="F23" s="585">
        <v>73807434.010000005</v>
      </c>
      <c r="G23" s="585"/>
      <c r="H23" s="587">
        <f t="shared" si="1"/>
        <v>73807434.010000005</v>
      </c>
    </row>
    <row r="24" spans="1:8">
      <c r="A24" s="397">
        <v>5.5</v>
      </c>
      <c r="B24" s="426" t="s">
        <v>186</v>
      </c>
      <c r="C24" s="585"/>
      <c r="D24" s="585"/>
      <c r="E24" s="586">
        <f t="shared" si="0"/>
        <v>0</v>
      </c>
      <c r="F24" s="585"/>
      <c r="G24" s="585"/>
      <c r="H24" s="587">
        <f t="shared" si="1"/>
        <v>0</v>
      </c>
    </row>
    <row r="25" spans="1:8">
      <c r="A25" s="397">
        <v>5.6</v>
      </c>
      <c r="B25" s="426" t="s">
        <v>187</v>
      </c>
      <c r="C25" s="585"/>
      <c r="D25" s="585"/>
      <c r="E25" s="586">
        <f t="shared" si="0"/>
        <v>0</v>
      </c>
      <c r="F25" s="585"/>
      <c r="G25" s="585"/>
      <c r="H25" s="587">
        <f t="shared" si="1"/>
        <v>0</v>
      </c>
    </row>
    <row r="26" spans="1:8">
      <c r="A26" s="397">
        <v>5.7</v>
      </c>
      <c r="B26" s="426" t="s">
        <v>40</v>
      </c>
      <c r="C26" s="585"/>
      <c r="D26" s="585"/>
      <c r="E26" s="586">
        <f t="shared" si="0"/>
        <v>0</v>
      </c>
      <c r="F26" s="585"/>
      <c r="G26" s="585"/>
      <c r="H26" s="587">
        <f t="shared" si="1"/>
        <v>0</v>
      </c>
    </row>
    <row r="27" spans="1:8">
      <c r="A27" s="397">
        <v>6</v>
      </c>
      <c r="B27" s="428" t="s">
        <v>661</v>
      </c>
      <c r="C27" s="585">
        <v>41406943</v>
      </c>
      <c r="D27" s="585">
        <v>14363621</v>
      </c>
      <c r="E27" s="586">
        <f t="shared" si="0"/>
        <v>55770564</v>
      </c>
      <c r="F27" s="585">
        <v>28188531.469999999</v>
      </c>
      <c r="G27" s="585">
        <v>16802802</v>
      </c>
      <c r="H27" s="587">
        <f t="shared" si="1"/>
        <v>44991333.469999999</v>
      </c>
    </row>
    <row r="28" spans="1:8">
      <c r="A28" s="397">
        <v>7</v>
      </c>
      <c r="B28" s="428" t="s">
        <v>662</v>
      </c>
      <c r="C28" s="585">
        <v>429000</v>
      </c>
      <c r="D28" s="585"/>
      <c r="E28" s="586">
        <f t="shared" si="0"/>
        <v>429000</v>
      </c>
      <c r="F28" s="585">
        <v>305899</v>
      </c>
      <c r="G28" s="585"/>
      <c r="H28" s="587">
        <f t="shared" si="1"/>
        <v>305899</v>
      </c>
    </row>
    <row r="29" spans="1:8">
      <c r="A29" s="397">
        <v>8</v>
      </c>
      <c r="B29" s="428" t="s">
        <v>195</v>
      </c>
      <c r="C29" s="585"/>
      <c r="D29" s="585"/>
      <c r="E29" s="586">
        <f t="shared" si="0"/>
        <v>0</v>
      </c>
      <c r="F29" s="585"/>
      <c r="G29" s="585"/>
      <c r="H29" s="587">
        <f t="shared" si="1"/>
        <v>0</v>
      </c>
    </row>
    <row r="30" spans="1:8">
      <c r="A30" s="397">
        <v>9</v>
      </c>
      <c r="B30" s="429" t="s">
        <v>212</v>
      </c>
      <c r="C30" s="585">
        <f>C31+C32+C33+C34+C35+C36+C37</f>
        <v>230946324.5</v>
      </c>
      <c r="D30" s="585">
        <f>D31+D32+D33+D34+D35+D36+D37</f>
        <v>5973860</v>
      </c>
      <c r="E30" s="586">
        <f t="shared" si="0"/>
        <v>236920184.5</v>
      </c>
      <c r="F30" s="585">
        <f>F31+F32+F33+F34+F35+F36+F37</f>
        <v>170967056.40000001</v>
      </c>
      <c r="G30" s="585">
        <f>G31+G32+G33+G34+G35+G36+G37</f>
        <v>0</v>
      </c>
      <c r="H30" s="587">
        <f t="shared" si="1"/>
        <v>170967056.40000001</v>
      </c>
    </row>
    <row r="31" spans="1:8">
      <c r="A31" s="397">
        <v>9.1</v>
      </c>
      <c r="B31" s="430" t="s">
        <v>202</v>
      </c>
      <c r="C31" s="585"/>
      <c r="D31" s="585"/>
      <c r="E31" s="586">
        <f t="shared" si="0"/>
        <v>0</v>
      </c>
      <c r="F31" s="585"/>
      <c r="G31" s="585"/>
      <c r="H31" s="587">
        <f t="shared" si="1"/>
        <v>0</v>
      </c>
    </row>
    <row r="32" spans="1:8">
      <c r="A32" s="397">
        <v>9.1999999999999993</v>
      </c>
      <c r="B32" s="430" t="s">
        <v>203</v>
      </c>
      <c r="C32" s="585">
        <v>230946324.5</v>
      </c>
      <c r="D32" s="585">
        <v>5973860</v>
      </c>
      <c r="E32" s="586">
        <f t="shared" si="0"/>
        <v>236920184.5</v>
      </c>
      <c r="F32" s="585">
        <v>170967056.40000001</v>
      </c>
      <c r="G32" s="585"/>
      <c r="H32" s="587">
        <f t="shared" si="1"/>
        <v>170967056.40000001</v>
      </c>
    </row>
    <row r="33" spans="1:8">
      <c r="A33" s="397">
        <v>9.3000000000000007</v>
      </c>
      <c r="B33" s="430" t="s">
        <v>199</v>
      </c>
      <c r="C33" s="585"/>
      <c r="D33" s="585"/>
      <c r="E33" s="586">
        <f t="shared" si="0"/>
        <v>0</v>
      </c>
      <c r="F33" s="585"/>
      <c r="G33" s="585"/>
      <c r="H33" s="587">
        <f t="shared" si="1"/>
        <v>0</v>
      </c>
    </row>
    <row r="34" spans="1:8">
      <c r="A34" s="397">
        <v>9.4</v>
      </c>
      <c r="B34" s="430" t="s">
        <v>200</v>
      </c>
      <c r="C34" s="585"/>
      <c r="D34" s="585"/>
      <c r="E34" s="586">
        <f t="shared" si="0"/>
        <v>0</v>
      </c>
      <c r="F34" s="585"/>
      <c r="G34" s="585"/>
      <c r="H34" s="587">
        <f t="shared" si="1"/>
        <v>0</v>
      </c>
    </row>
    <row r="35" spans="1:8">
      <c r="A35" s="397">
        <v>9.5</v>
      </c>
      <c r="B35" s="430" t="s">
        <v>201</v>
      </c>
      <c r="C35" s="585"/>
      <c r="D35" s="585"/>
      <c r="E35" s="586">
        <f t="shared" si="0"/>
        <v>0</v>
      </c>
      <c r="F35" s="585"/>
      <c r="G35" s="585"/>
      <c r="H35" s="587">
        <f t="shared" si="1"/>
        <v>0</v>
      </c>
    </row>
    <row r="36" spans="1:8">
      <c r="A36" s="397">
        <v>9.6</v>
      </c>
      <c r="B36" s="430" t="s">
        <v>204</v>
      </c>
      <c r="C36" s="585"/>
      <c r="D36" s="585"/>
      <c r="E36" s="586">
        <f t="shared" si="0"/>
        <v>0</v>
      </c>
      <c r="F36" s="585"/>
      <c r="G36" s="585"/>
      <c r="H36" s="587">
        <f t="shared" si="1"/>
        <v>0</v>
      </c>
    </row>
    <row r="37" spans="1:8">
      <c r="A37" s="397">
        <v>9.6999999999999993</v>
      </c>
      <c r="B37" s="430" t="s">
        <v>205</v>
      </c>
      <c r="C37" s="585"/>
      <c r="D37" s="585"/>
      <c r="E37" s="586">
        <f t="shared" si="0"/>
        <v>0</v>
      </c>
      <c r="F37" s="585"/>
      <c r="G37" s="585"/>
      <c r="H37" s="587">
        <f t="shared" si="1"/>
        <v>0</v>
      </c>
    </row>
    <row r="38" spans="1:8">
      <c r="A38" s="397">
        <v>10</v>
      </c>
      <c r="B38" s="425" t="s">
        <v>208</v>
      </c>
      <c r="C38" s="585">
        <f>C39+C40+C41+C42</f>
        <v>231194463.78999999</v>
      </c>
      <c r="D38" s="585">
        <f>D39+D40+D41+D42</f>
        <v>6384177.1054580007</v>
      </c>
      <c r="E38" s="586">
        <f t="shared" si="0"/>
        <v>237578640.89545798</v>
      </c>
      <c r="F38" s="585">
        <f>F39+F40+F41+F42</f>
        <v>164882885.22919998</v>
      </c>
      <c r="G38" s="585">
        <f>G39+G40+G41+G42</f>
        <v>1863108.6732700027</v>
      </c>
      <c r="H38" s="587">
        <f t="shared" si="1"/>
        <v>166745993.90246999</v>
      </c>
    </row>
    <row r="39" spans="1:8">
      <c r="A39" s="397">
        <v>10.1</v>
      </c>
      <c r="B39" s="431" t="s">
        <v>209</v>
      </c>
      <c r="C39" s="585">
        <v>11645174.38999998</v>
      </c>
      <c r="D39" s="585">
        <v>510598.971326</v>
      </c>
      <c r="E39" s="586">
        <f t="shared" si="0"/>
        <v>12155773.361325979</v>
      </c>
      <c r="F39" s="585">
        <v>11805726.83</v>
      </c>
      <c r="G39" s="585">
        <v>7841</v>
      </c>
      <c r="H39" s="587">
        <f t="shared" si="1"/>
        <v>11813567.83</v>
      </c>
    </row>
    <row r="40" spans="1:8">
      <c r="A40" s="397">
        <v>10.199999999999999</v>
      </c>
      <c r="B40" s="431" t="s">
        <v>210</v>
      </c>
      <c r="C40" s="585">
        <v>6677372</v>
      </c>
      <c r="D40" s="585">
        <v>99207</v>
      </c>
      <c r="E40" s="586">
        <f t="shared" si="0"/>
        <v>6776579</v>
      </c>
      <c r="F40" s="585">
        <v>6437543.3299999796</v>
      </c>
      <c r="G40" s="585">
        <v>33979</v>
      </c>
      <c r="H40" s="587">
        <f t="shared" si="1"/>
        <v>6471522.3299999796</v>
      </c>
    </row>
    <row r="41" spans="1:8">
      <c r="A41" s="397">
        <v>10.3</v>
      </c>
      <c r="B41" s="431" t="s">
        <v>213</v>
      </c>
      <c r="C41" s="585">
        <v>136310248.40000001</v>
      </c>
      <c r="D41" s="585">
        <v>2829065.1341320002</v>
      </c>
      <c r="E41" s="586">
        <f t="shared" si="0"/>
        <v>139139313.534132</v>
      </c>
      <c r="F41" s="585">
        <v>90157978.389200032</v>
      </c>
      <c r="G41" s="585">
        <v>239382.81606300152</v>
      </c>
      <c r="H41" s="587">
        <f t="shared" si="1"/>
        <v>90397361.205263034</v>
      </c>
    </row>
    <row r="42" spans="1:8" ht="26.4">
      <c r="A42" s="397">
        <v>10.4</v>
      </c>
      <c r="B42" s="431" t="s">
        <v>214</v>
      </c>
      <c r="C42" s="585">
        <v>76561669</v>
      </c>
      <c r="D42" s="585">
        <v>2945306</v>
      </c>
      <c r="E42" s="586">
        <f t="shared" si="0"/>
        <v>79506975</v>
      </c>
      <c r="F42" s="585">
        <v>56481636.679999962</v>
      </c>
      <c r="G42" s="585">
        <v>1581905.8572070012</v>
      </c>
      <c r="H42" s="587">
        <f t="shared" si="1"/>
        <v>58063542.537206963</v>
      </c>
    </row>
    <row r="43" spans="1:8" ht="15" thickBot="1">
      <c r="A43" s="397">
        <v>11</v>
      </c>
      <c r="B43" s="142" t="s">
        <v>211</v>
      </c>
      <c r="C43" s="585"/>
      <c r="D43" s="585"/>
      <c r="E43" s="586">
        <f t="shared" si="0"/>
        <v>0</v>
      </c>
      <c r="F43" s="585"/>
      <c r="G43" s="585"/>
      <c r="H43" s="587">
        <f t="shared" si="1"/>
        <v>0</v>
      </c>
    </row>
    <row r="44" spans="1:8">
      <c r="C44" s="432"/>
      <c r="D44" s="432"/>
      <c r="E44" s="432"/>
      <c r="F44" s="432"/>
      <c r="G44" s="432"/>
      <c r="H44" s="432"/>
    </row>
    <row r="45" spans="1:8">
      <c r="C45" s="432"/>
      <c r="D45" s="432"/>
      <c r="E45" s="432"/>
      <c r="F45" s="432"/>
      <c r="G45" s="432"/>
      <c r="H45" s="432"/>
    </row>
    <row r="46" spans="1:8">
      <c r="C46" s="432"/>
      <c r="D46" s="432"/>
      <c r="E46" s="432"/>
      <c r="F46" s="432"/>
      <c r="G46" s="432"/>
      <c r="H46" s="432"/>
    </row>
    <row r="47" spans="1:8">
      <c r="C47" s="432"/>
      <c r="D47" s="432"/>
      <c r="E47" s="432"/>
      <c r="F47" s="432"/>
      <c r="G47" s="432"/>
      <c r="H47" s="432"/>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
    </sheetView>
  </sheetViews>
  <sheetFormatPr defaultColWidth="9.21875" defaultRowHeight="13.2"/>
  <cols>
    <col min="1" max="1" width="9.5546875" style="4" bestFit="1" customWidth="1"/>
    <col min="2" max="2" width="93.5546875" style="4" customWidth="1"/>
    <col min="3" max="4" width="12.33203125" style="4" bestFit="1" customWidth="1"/>
    <col min="5" max="7" width="12.33203125" style="19" bestFit="1" customWidth="1"/>
    <col min="8" max="11" width="9.77734375" style="19" customWidth="1"/>
    <col min="12" max="16384" width="9.21875" style="19"/>
  </cols>
  <sheetData>
    <row r="1" spans="1:7">
      <c r="A1" s="2" t="s">
        <v>30</v>
      </c>
      <c r="B1" s="3" t="str">
        <f>'Info '!C2</f>
        <v>JSC "CREDOBANK"</v>
      </c>
      <c r="C1" s="3"/>
    </row>
    <row r="2" spans="1:7">
      <c r="A2" s="2" t="s">
        <v>31</v>
      </c>
      <c r="B2" s="330">
        <f>'1. key ratios '!B2</f>
        <v>45291</v>
      </c>
      <c r="C2" s="3"/>
    </row>
    <row r="3" spans="1:7">
      <c r="A3" s="2"/>
      <c r="B3" s="3"/>
      <c r="C3" s="3"/>
    </row>
    <row r="4" spans="1:7" ht="15" customHeight="1" thickBot="1">
      <c r="A4" s="4" t="s">
        <v>97</v>
      </c>
      <c r="B4" s="89" t="s">
        <v>188</v>
      </c>
      <c r="C4" s="22" t="s">
        <v>35</v>
      </c>
    </row>
    <row r="5" spans="1:7" ht="15" customHeight="1">
      <c r="A5" s="166" t="s">
        <v>6</v>
      </c>
      <c r="B5" s="167"/>
      <c r="C5" s="328" t="str">
        <f>INT((MONTH($B$2))/3)&amp;"Q"&amp;"-"&amp;YEAR($B$2)</f>
        <v>4Q-2023</v>
      </c>
      <c r="D5" s="328" t="str">
        <f>IF(INT(MONTH($B$2))=3, "4"&amp;"Q"&amp;"-"&amp;YEAR($B$2)-1, IF(INT(MONTH($B$2))=6, "1"&amp;"Q"&amp;"-"&amp;YEAR($B$2), IF(INT(MONTH($B$2))=9, "2"&amp;"Q"&amp;"-"&amp;YEAR($B$2),IF(INT(MONTH($B$2))=12, "3"&amp;"Q"&amp;"-"&amp;YEAR($B$2), 0))))</f>
        <v>3Q-2023</v>
      </c>
      <c r="E5" s="328" t="str">
        <f>IF(INT(MONTH($B$2))=3, "3"&amp;"Q"&amp;"-"&amp;YEAR($B$2)-1, IF(INT(MONTH($B$2))=6, "4"&amp;"Q"&amp;"-"&amp;YEAR($B$2)-1, IF(INT(MONTH($B$2))=9, "1"&amp;"Q"&amp;"-"&amp;YEAR($B$2),IF(INT(MONTH($B$2))=12, "2"&amp;"Q"&amp;"-"&amp;YEAR($B$2), 0))))</f>
        <v>2Q-2023</v>
      </c>
      <c r="F5" s="328" t="str">
        <f>IF(INT(MONTH($B$2))=3, "2"&amp;"Q"&amp;"-"&amp;YEAR($B$2)-1, IF(INT(MONTH($B$2))=6, "3"&amp;"Q"&amp;"-"&amp;YEAR($B$2)-1, IF(INT(MONTH($B$2))=9, "4"&amp;"Q"&amp;"-"&amp;YEAR($B$2)-1,IF(INT(MONTH($B$2))=12, "1"&amp;"Q"&amp;"-"&amp;YEAR($B$2), 0))))</f>
        <v>1Q-2023</v>
      </c>
      <c r="G5" s="329" t="str">
        <f>IF(INT(MONTH($B$2))=3, "1"&amp;"Q"&amp;"-"&amp;YEAR($B$2)-1, IF(INT(MONTH($B$2))=6, "2"&amp;"Q"&amp;"-"&amp;YEAR($B$2)-1, IF(INT(MONTH($B$2))=9, "3"&amp;"Q"&amp;"-"&amp;YEAR($B$2)-1,IF(INT(MONTH($B$2))=12, "4"&amp;"Q"&amp;"-"&amp;YEAR($B$2)-1, 0))))</f>
        <v>4Q-2022</v>
      </c>
    </row>
    <row r="6" spans="1:7" ht="15" customHeight="1">
      <c r="A6" s="23">
        <v>1</v>
      </c>
      <c r="B6" s="253" t="s">
        <v>192</v>
      </c>
      <c r="C6" s="320">
        <f>C7+C9+C10</f>
        <v>1644867891.5247724</v>
      </c>
      <c r="D6" s="322">
        <f>D7+D9+D10</f>
        <v>1555571144.3906891</v>
      </c>
      <c r="E6" s="255">
        <f t="shared" ref="E6:G6" si="0">E7+E9+E10</f>
        <v>1513603449.19348</v>
      </c>
      <c r="F6" s="320">
        <f t="shared" si="0"/>
        <v>1457145175.4120243</v>
      </c>
      <c r="G6" s="325">
        <f t="shared" si="0"/>
        <v>1494733348.371649</v>
      </c>
    </row>
    <row r="7" spans="1:7" ht="15" customHeight="1">
      <c r="A7" s="23">
        <v>1.1000000000000001</v>
      </c>
      <c r="B7" s="253" t="s">
        <v>358</v>
      </c>
      <c r="C7" s="321">
        <v>1619083852.9935224</v>
      </c>
      <c r="D7" s="323">
        <v>1533806374.343189</v>
      </c>
      <c r="E7" s="321">
        <v>1493803420.6659799</v>
      </c>
      <c r="F7" s="321">
        <v>1438725774.1332741</v>
      </c>
      <c r="G7" s="326">
        <v>1475242645.1091492</v>
      </c>
    </row>
    <row r="8" spans="1:7">
      <c r="A8" s="23" t="s">
        <v>14</v>
      </c>
      <c r="B8" s="253" t="s">
        <v>96</v>
      </c>
      <c r="C8" s="321"/>
      <c r="D8" s="323"/>
      <c r="E8" s="321"/>
      <c r="F8" s="321"/>
      <c r="G8" s="326"/>
    </row>
    <row r="9" spans="1:7" ht="15" customHeight="1">
      <c r="A9" s="23">
        <v>1.2</v>
      </c>
      <c r="B9" s="254" t="s">
        <v>95</v>
      </c>
      <c r="C9" s="321">
        <v>21165112.041249998</v>
      </c>
      <c r="D9" s="323">
        <v>18026448.327499997</v>
      </c>
      <c r="E9" s="321">
        <v>16187572.1175</v>
      </c>
      <c r="F9" s="321">
        <v>14885125.138750002</v>
      </c>
      <c r="G9" s="326">
        <v>16071362.142499998</v>
      </c>
    </row>
    <row r="10" spans="1:7" ht="15" customHeight="1">
      <c r="A10" s="23">
        <v>1.3</v>
      </c>
      <c r="B10" s="253" t="s">
        <v>28</v>
      </c>
      <c r="C10" s="321">
        <v>4618926.49</v>
      </c>
      <c r="D10" s="323">
        <v>3738321.72</v>
      </c>
      <c r="E10" s="321">
        <v>3612456.41</v>
      </c>
      <c r="F10" s="321">
        <v>3534276.14</v>
      </c>
      <c r="G10" s="326">
        <v>3419341.12</v>
      </c>
    </row>
    <row r="11" spans="1:7" ht="15" customHeight="1">
      <c r="A11" s="23">
        <v>2</v>
      </c>
      <c r="B11" s="253" t="s">
        <v>189</v>
      </c>
      <c r="C11" s="321">
        <v>2524980</v>
      </c>
      <c r="D11" s="323">
        <v>912850.53000352031</v>
      </c>
      <c r="E11" s="321">
        <v>680131.54784977494</v>
      </c>
      <c r="F11" s="321">
        <v>396149</v>
      </c>
      <c r="G11" s="326">
        <v>531909.49999903305</v>
      </c>
    </row>
    <row r="12" spans="1:7" ht="15" customHeight="1">
      <c r="A12" s="23">
        <v>3</v>
      </c>
      <c r="B12" s="253" t="s">
        <v>190</v>
      </c>
      <c r="C12" s="321">
        <v>497590830.13999999</v>
      </c>
      <c r="D12" s="323">
        <v>435833167.47878599</v>
      </c>
      <c r="E12" s="321">
        <v>435833167.47878599</v>
      </c>
      <c r="F12" s="321">
        <v>435833167.47878599</v>
      </c>
      <c r="G12" s="326">
        <v>435833167.47878599</v>
      </c>
    </row>
    <row r="13" spans="1:7" ht="15" customHeight="1" thickBot="1">
      <c r="A13" s="25">
        <v>4</v>
      </c>
      <c r="B13" s="26" t="s">
        <v>191</v>
      </c>
      <c r="C13" s="256">
        <f>C6+C11+C12</f>
        <v>2144983701.6647725</v>
      </c>
      <c r="D13" s="324">
        <f>D6+D11+D12</f>
        <v>1992317162.3994787</v>
      </c>
      <c r="E13" s="257">
        <f t="shared" ref="E13:G13" si="1">E6+E11+E12</f>
        <v>1950116748.2201159</v>
      </c>
      <c r="F13" s="256">
        <f t="shared" si="1"/>
        <v>1893374491.8908103</v>
      </c>
      <c r="G13" s="327">
        <f t="shared" si="1"/>
        <v>1931098425.3504341</v>
      </c>
    </row>
    <row r="14" spans="1:7">
      <c r="B14" s="29"/>
    </row>
    <row r="15" spans="1:7" ht="26.4">
      <c r="B15" s="29" t="s">
        <v>359</v>
      </c>
    </row>
    <row r="16" spans="1:7">
      <c r="B16" s="29"/>
    </row>
    <row r="17" s="19" customFormat="1" ht="10.199999999999999"/>
    <row r="18" s="19" customFormat="1" ht="10.199999999999999"/>
    <row r="19" s="19" customFormat="1" ht="10.199999999999999"/>
    <row r="20" s="19" customFormat="1" ht="10.199999999999999"/>
    <row r="21" s="19" customFormat="1" ht="10.199999999999999"/>
    <row r="22" s="19" customFormat="1" ht="10.199999999999999"/>
    <row r="23" s="19" customFormat="1" ht="10.199999999999999"/>
    <row r="24" s="19" customFormat="1" ht="10.199999999999999"/>
    <row r="25" s="19" customFormat="1" ht="10.199999999999999"/>
    <row r="26" s="19" customFormat="1" ht="10.199999999999999"/>
    <row r="27" s="19" customFormat="1" ht="10.199999999999999"/>
    <row r="28" s="19" customFormat="1" ht="10.199999999999999"/>
    <row r="29" s="19"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tabSelected="1" zoomScaleNormal="100" workbookViewId="0">
      <pane xSplit="1" ySplit="4" topLeftCell="B27" activePane="bottomRight" state="frozen"/>
      <selection activeCell="B9" sqref="B9"/>
      <selection pane="topRight" activeCell="B9" sqref="B9"/>
      <selection pane="bottomLeft" activeCell="B9" sqref="B9"/>
      <selection pane="bottomRight" activeCell="C31" sqref="C31:C38"/>
    </sheetView>
  </sheetViews>
  <sheetFormatPr defaultColWidth="9.21875" defaultRowHeight="13.8"/>
  <cols>
    <col min="1" max="1" width="9.5546875" style="4" bestFit="1" customWidth="1"/>
    <col min="2" max="2" width="65.5546875" style="4" customWidth="1"/>
    <col min="3" max="3" width="27.5546875" style="4" customWidth="1"/>
    <col min="4" max="16384" width="9.21875" style="5"/>
  </cols>
  <sheetData>
    <row r="1" spans="1:3">
      <c r="A1" s="2" t="s">
        <v>30</v>
      </c>
      <c r="B1" s="3" t="str">
        <f>'Info '!C2</f>
        <v>JSC "CREDOBANK"</v>
      </c>
    </row>
    <row r="2" spans="1:3">
      <c r="A2" s="2" t="s">
        <v>31</v>
      </c>
      <c r="B2" s="330">
        <f>'1. key ratios '!B2</f>
        <v>45291</v>
      </c>
    </row>
    <row r="4" spans="1:3" ht="28.05" customHeight="1" thickBot="1">
      <c r="A4" s="30" t="s">
        <v>41</v>
      </c>
      <c r="B4" s="31" t="s">
        <v>164</v>
      </c>
      <c r="C4" s="32"/>
    </row>
    <row r="5" spans="1:3">
      <c r="A5" s="33"/>
      <c r="B5" s="315" t="s">
        <v>42</v>
      </c>
      <c r="C5" s="316" t="s">
        <v>372</v>
      </c>
    </row>
    <row r="6" spans="1:3">
      <c r="A6" s="34">
        <v>1</v>
      </c>
      <c r="B6" s="35" t="s">
        <v>716</v>
      </c>
      <c r="C6" s="599" t="s">
        <v>717</v>
      </c>
    </row>
    <row r="7" spans="1:3">
      <c r="A7" s="34">
        <v>2</v>
      </c>
      <c r="B7" s="35" t="s">
        <v>718</v>
      </c>
      <c r="C7" s="599" t="s">
        <v>719</v>
      </c>
    </row>
    <row r="8" spans="1:3">
      <c r="A8" s="34">
        <v>3</v>
      </c>
      <c r="B8" s="35" t="s">
        <v>720</v>
      </c>
      <c r="C8" s="599" t="s">
        <v>719</v>
      </c>
    </row>
    <row r="9" spans="1:3">
      <c r="A9" s="34">
        <v>4</v>
      </c>
      <c r="B9" s="35" t="s">
        <v>722</v>
      </c>
      <c r="C9" s="599" t="s">
        <v>719</v>
      </c>
    </row>
    <row r="10" spans="1:3">
      <c r="A10" s="34">
        <v>5</v>
      </c>
      <c r="B10" s="35" t="s">
        <v>723</v>
      </c>
      <c r="C10" s="599" t="s">
        <v>724</v>
      </c>
    </row>
    <row r="11" spans="1:3">
      <c r="A11" s="34">
        <v>6</v>
      </c>
      <c r="B11" s="35" t="s">
        <v>725</v>
      </c>
      <c r="C11" s="599" t="s">
        <v>721</v>
      </c>
    </row>
    <row r="12" spans="1:3">
      <c r="A12" s="34"/>
      <c r="B12" s="317"/>
      <c r="C12" s="318"/>
    </row>
    <row r="13" spans="1:3" ht="26.4">
      <c r="A13" s="34"/>
      <c r="B13" s="148" t="s">
        <v>43</v>
      </c>
      <c r="C13" s="319" t="s">
        <v>373</v>
      </c>
    </row>
    <row r="14" spans="1:3">
      <c r="A14" s="34">
        <v>1</v>
      </c>
      <c r="B14" s="35" t="s">
        <v>714</v>
      </c>
      <c r="C14" s="598" t="s">
        <v>726</v>
      </c>
    </row>
    <row r="15" spans="1:3">
      <c r="A15" s="34">
        <v>2</v>
      </c>
      <c r="B15" s="35" t="s">
        <v>727</v>
      </c>
      <c r="C15" s="598" t="s">
        <v>728</v>
      </c>
    </row>
    <row r="16" spans="1:3">
      <c r="A16" s="34">
        <v>3</v>
      </c>
      <c r="B16" s="35" t="s">
        <v>729</v>
      </c>
      <c r="C16" s="598" t="s">
        <v>730</v>
      </c>
    </row>
    <row r="17" spans="1:3">
      <c r="A17" s="34">
        <v>4</v>
      </c>
      <c r="B17" s="35" t="s">
        <v>731</v>
      </c>
      <c r="C17" s="598" t="s">
        <v>732</v>
      </c>
    </row>
    <row r="18" spans="1:3">
      <c r="A18" s="34">
        <v>5</v>
      </c>
      <c r="B18" s="35" t="s">
        <v>733</v>
      </c>
      <c r="C18" s="598" t="s">
        <v>734</v>
      </c>
    </row>
    <row r="19" spans="1:3">
      <c r="A19" s="34">
        <v>6</v>
      </c>
      <c r="B19" s="35" t="s">
        <v>735</v>
      </c>
      <c r="C19" s="598" t="s">
        <v>736</v>
      </c>
    </row>
    <row r="20" spans="1:3" ht="15.75" customHeight="1">
      <c r="A20" s="34"/>
      <c r="B20" s="35"/>
      <c r="C20" s="37"/>
    </row>
    <row r="21" spans="1:3" ht="30" customHeight="1">
      <c r="A21" s="34"/>
      <c r="B21" s="730" t="s">
        <v>44</v>
      </c>
      <c r="C21" s="731"/>
    </row>
    <row r="22" spans="1:3" ht="14.4">
      <c r="A22" s="34">
        <v>1</v>
      </c>
      <c r="B22" s="35" t="s">
        <v>737</v>
      </c>
      <c r="C22" s="594">
        <v>0.50838446671260196</v>
      </c>
    </row>
    <row r="23" spans="1:3" ht="14.4">
      <c r="A23" s="34">
        <v>2</v>
      </c>
      <c r="B23" s="593" t="s">
        <v>738</v>
      </c>
      <c r="C23" s="594">
        <v>8.3604754492603975E-2</v>
      </c>
    </row>
    <row r="24" spans="1:3" ht="14.4">
      <c r="A24" s="34">
        <v>3</v>
      </c>
      <c r="B24" s="593" t="s">
        <v>739</v>
      </c>
      <c r="C24" s="594">
        <v>8.3604754492603975E-2</v>
      </c>
    </row>
    <row r="25" spans="1:3" ht="14.4">
      <c r="A25" s="34">
        <v>4</v>
      </c>
      <c r="B25" s="593" t="s">
        <v>740</v>
      </c>
      <c r="C25" s="594">
        <v>7.8875596662719302E-2</v>
      </c>
    </row>
    <row r="26" spans="1:3" ht="27">
      <c r="A26" s="34">
        <v>5</v>
      </c>
      <c r="B26" s="593" t="s">
        <v>741</v>
      </c>
      <c r="C26" s="594">
        <v>7.4230888079796858E-2</v>
      </c>
    </row>
    <row r="27" spans="1:3" ht="27">
      <c r="A27" s="34">
        <v>6</v>
      </c>
      <c r="B27" s="593" t="s">
        <v>742</v>
      </c>
      <c r="C27" s="594">
        <v>1.5792009181936306E-2</v>
      </c>
    </row>
    <row r="28" spans="1:3" ht="27">
      <c r="A28" s="34">
        <v>7</v>
      </c>
      <c r="B28" s="593" t="s">
        <v>743</v>
      </c>
      <c r="C28" s="594">
        <v>0.14863067465351817</v>
      </c>
    </row>
    <row r="29" spans="1:3" ht="15.75" customHeight="1">
      <c r="A29" s="34"/>
      <c r="B29" s="35"/>
      <c r="C29" s="36"/>
    </row>
    <row r="30" spans="1:3" ht="29.25" customHeight="1">
      <c r="A30" s="34"/>
      <c r="B30" s="730" t="s">
        <v>45</v>
      </c>
      <c r="C30" s="731"/>
    </row>
    <row r="31" spans="1:3">
      <c r="A31" s="34">
        <v>1</v>
      </c>
      <c r="B31" s="35" t="s">
        <v>744</v>
      </c>
      <c r="C31" s="595">
        <v>6.0100000000000001E-2</v>
      </c>
    </row>
    <row r="32" spans="1:3">
      <c r="A32" s="591">
        <v>2</v>
      </c>
      <c r="B32" s="592" t="s">
        <v>745</v>
      </c>
      <c r="C32" s="596">
        <v>6.0100000000000001E-2</v>
      </c>
    </row>
    <row r="33" spans="1:3">
      <c r="A33" s="34">
        <v>3</v>
      </c>
      <c r="B33" s="592" t="s">
        <v>746</v>
      </c>
      <c r="C33" s="596">
        <v>7.5600000000000001E-2</v>
      </c>
    </row>
    <row r="34" spans="1:3">
      <c r="A34" s="591">
        <v>4</v>
      </c>
      <c r="B34" s="592" t="s">
        <v>747</v>
      </c>
      <c r="C34" s="596">
        <v>6.4600000000000005E-2</v>
      </c>
    </row>
    <row r="35" spans="1:3">
      <c r="A35" s="34">
        <v>5</v>
      </c>
      <c r="B35" s="592" t="s">
        <v>748</v>
      </c>
      <c r="C35" s="596">
        <v>0.1208</v>
      </c>
    </row>
    <row r="36" spans="1:3">
      <c r="A36" s="591">
        <v>6</v>
      </c>
      <c r="B36" s="592" t="s">
        <v>749</v>
      </c>
      <c r="C36" s="596">
        <v>7.2499999999999995E-2</v>
      </c>
    </row>
    <row r="37" spans="1:3">
      <c r="A37" s="34">
        <v>7</v>
      </c>
      <c r="B37" s="592" t="s">
        <v>750</v>
      </c>
      <c r="C37" s="596">
        <v>5.7000000000000002E-2</v>
      </c>
    </row>
    <row r="38" spans="1:3" ht="14.4" thickBot="1">
      <c r="A38" s="591">
        <v>8</v>
      </c>
      <c r="B38" s="38" t="s">
        <v>751</v>
      </c>
      <c r="C38" s="597">
        <v>0.1162</v>
      </c>
    </row>
  </sheetData>
  <mergeCells count="2">
    <mergeCell ref="B30:C30"/>
    <mergeCell ref="B21:C21"/>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70" zoomScaleNormal="70" workbookViewId="0">
      <pane xSplit="1" ySplit="5" topLeftCell="B7" activePane="bottomRight" state="frozen"/>
      <selection activeCell="B61" sqref="B61"/>
      <selection pane="topRight" activeCell="B61" sqref="B61"/>
      <selection pane="bottomLeft" activeCell="B61" sqref="B61"/>
      <selection pane="bottomRight" activeCell="C15" sqref="C15"/>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28" t="s">
        <v>30</v>
      </c>
      <c r="B1" s="3" t="str">
        <f>'Info '!C2</f>
        <v>JSC "CREDOBANK"</v>
      </c>
    </row>
    <row r="2" spans="1:5" s="2" customFormat="1" ht="15.75" customHeight="1">
      <c r="A2" s="28" t="s">
        <v>31</v>
      </c>
      <c r="B2" s="330">
        <f>'1. key ratios '!B2</f>
        <v>45291</v>
      </c>
    </row>
    <row r="3" spans="1:5" s="2" customFormat="1" ht="15.75" customHeight="1">
      <c r="A3" s="28"/>
    </row>
    <row r="4" spans="1:5" s="2" customFormat="1" ht="15.75" customHeight="1" thickBot="1">
      <c r="A4" s="204" t="s">
        <v>100</v>
      </c>
      <c r="B4" s="736" t="s">
        <v>226</v>
      </c>
      <c r="C4" s="737"/>
      <c r="D4" s="737"/>
      <c r="E4" s="737"/>
    </row>
    <row r="5" spans="1:5" s="42" customFormat="1" ht="17.55" customHeight="1">
      <c r="A5" s="151"/>
      <c r="B5" s="152"/>
      <c r="C5" s="40" t="s">
        <v>0</v>
      </c>
      <c r="D5" s="40" t="s">
        <v>1</v>
      </c>
      <c r="E5" s="41" t="s">
        <v>2</v>
      </c>
    </row>
    <row r="6" spans="1:5" ht="14.55" customHeight="1">
      <c r="A6" s="106"/>
      <c r="B6" s="732" t="s">
        <v>233</v>
      </c>
      <c r="C6" s="732" t="s">
        <v>663</v>
      </c>
      <c r="D6" s="734" t="s">
        <v>99</v>
      </c>
      <c r="E6" s="735"/>
    </row>
    <row r="7" spans="1:5" ht="99.6" customHeight="1">
      <c r="A7" s="106"/>
      <c r="B7" s="733"/>
      <c r="C7" s="732"/>
      <c r="D7" s="239" t="s">
        <v>98</v>
      </c>
      <c r="E7" s="240" t="s">
        <v>234</v>
      </c>
    </row>
    <row r="8" spans="1:5" ht="20.399999999999999">
      <c r="A8" s="382">
        <v>1</v>
      </c>
      <c r="B8" s="383" t="s">
        <v>564</v>
      </c>
      <c r="C8" s="433">
        <f>SUM(C9:C11)</f>
        <v>321006177.00999999</v>
      </c>
      <c r="D8" s="433">
        <f>SUM(D9:D11)</f>
        <v>0</v>
      </c>
      <c r="E8" s="600">
        <f t="shared" ref="E8" si="0">SUM(E9:E11)</f>
        <v>321006177.00999999</v>
      </c>
    </row>
    <row r="9" spans="1:5" ht="14.4">
      <c r="A9" s="382">
        <v>1.1000000000000001</v>
      </c>
      <c r="B9" s="384" t="s">
        <v>565</v>
      </c>
      <c r="C9" s="433">
        <v>91228953.689999998</v>
      </c>
      <c r="D9" s="433"/>
      <c r="E9" s="600">
        <f>C9-D9</f>
        <v>91228953.689999998</v>
      </c>
    </row>
    <row r="10" spans="1:5" ht="14.4">
      <c r="A10" s="382">
        <v>1.2</v>
      </c>
      <c r="B10" s="384" t="s">
        <v>566</v>
      </c>
      <c r="C10" s="433">
        <v>147233398.18000001</v>
      </c>
      <c r="D10" s="433"/>
      <c r="E10" s="600">
        <f t="shared" ref="E10:E36" si="1">C10-D10</f>
        <v>147233398.18000001</v>
      </c>
    </row>
    <row r="11" spans="1:5" ht="14.4">
      <c r="A11" s="382">
        <v>1.3</v>
      </c>
      <c r="B11" s="384" t="s">
        <v>567</v>
      </c>
      <c r="C11" s="433">
        <v>82543825.139999986</v>
      </c>
      <c r="D11" s="433"/>
      <c r="E11" s="600">
        <f t="shared" si="1"/>
        <v>82543825.139999986</v>
      </c>
    </row>
    <row r="12" spans="1:5" ht="14.4">
      <c r="A12" s="382">
        <v>2</v>
      </c>
      <c r="B12" s="385" t="s">
        <v>568</v>
      </c>
      <c r="C12" s="433"/>
      <c r="D12" s="433"/>
      <c r="E12" s="600">
        <f t="shared" si="1"/>
        <v>0</v>
      </c>
    </row>
    <row r="13" spans="1:5" ht="14.4">
      <c r="A13" s="382">
        <v>2.1</v>
      </c>
      <c r="B13" s="386" t="s">
        <v>569</v>
      </c>
      <c r="C13" s="434"/>
      <c r="D13" s="434"/>
      <c r="E13" s="600">
        <f t="shared" si="1"/>
        <v>0</v>
      </c>
    </row>
    <row r="14" spans="1:5" ht="20.399999999999999">
      <c r="A14" s="382">
        <v>3</v>
      </c>
      <c r="B14" s="387" t="s">
        <v>570</v>
      </c>
      <c r="C14" s="434"/>
      <c r="D14" s="434"/>
      <c r="E14" s="600">
        <f t="shared" si="1"/>
        <v>0</v>
      </c>
    </row>
    <row r="15" spans="1:5" ht="14.4">
      <c r="A15" s="382">
        <v>4</v>
      </c>
      <c r="B15" s="388" t="s">
        <v>571</v>
      </c>
      <c r="C15" s="434">
        <v>1821169.01</v>
      </c>
      <c r="D15" s="434"/>
      <c r="E15" s="600">
        <f t="shared" si="1"/>
        <v>1821169.01</v>
      </c>
    </row>
    <row r="16" spans="1:5" ht="20.399999999999999">
      <c r="A16" s="382">
        <v>5</v>
      </c>
      <c r="B16" s="389" t="s">
        <v>572</v>
      </c>
      <c r="C16" s="434">
        <f>SUM(C17:C19)</f>
        <v>0</v>
      </c>
      <c r="D16" s="434">
        <f>SUM(D17:D19)</f>
        <v>0</v>
      </c>
      <c r="E16" s="600">
        <f t="shared" si="1"/>
        <v>0</v>
      </c>
    </row>
    <row r="17" spans="1:5" ht="14.4">
      <c r="A17" s="382">
        <v>5.0999999999999996</v>
      </c>
      <c r="B17" s="390" t="s">
        <v>573</v>
      </c>
      <c r="C17" s="434"/>
      <c r="D17" s="434"/>
      <c r="E17" s="600">
        <f t="shared" si="1"/>
        <v>0</v>
      </c>
    </row>
    <row r="18" spans="1:5" ht="14.4">
      <c r="A18" s="382">
        <v>5.2</v>
      </c>
      <c r="B18" s="390" t="s">
        <v>574</v>
      </c>
      <c r="C18" s="434"/>
      <c r="D18" s="434"/>
      <c r="E18" s="600">
        <f t="shared" si="1"/>
        <v>0</v>
      </c>
    </row>
    <row r="19" spans="1:5" ht="14.4">
      <c r="A19" s="382">
        <v>5.3</v>
      </c>
      <c r="B19" s="391" t="s">
        <v>575</v>
      </c>
      <c r="C19" s="434"/>
      <c r="D19" s="434"/>
      <c r="E19" s="600">
        <f t="shared" si="1"/>
        <v>0</v>
      </c>
    </row>
    <row r="20" spans="1:5" ht="14.4">
      <c r="A20" s="382">
        <v>6</v>
      </c>
      <c r="B20" s="387" t="s">
        <v>576</v>
      </c>
      <c r="C20" s="434">
        <f>SUM(C21:C22)</f>
        <v>2030459498.9300001</v>
      </c>
      <c r="D20" s="434">
        <f>SUM(D21:D22)</f>
        <v>0</v>
      </c>
      <c r="E20" s="600">
        <f t="shared" si="1"/>
        <v>2030459498.9300001</v>
      </c>
    </row>
    <row r="21" spans="1:5" ht="14.4">
      <c r="A21" s="382">
        <v>6.1</v>
      </c>
      <c r="B21" s="390" t="s">
        <v>574</v>
      </c>
      <c r="C21" s="434">
        <v>48888517.93</v>
      </c>
      <c r="D21" s="434"/>
      <c r="E21" s="600">
        <f t="shared" si="1"/>
        <v>48888517.93</v>
      </c>
    </row>
    <row r="22" spans="1:5" ht="14.4">
      <c r="A22" s="382">
        <v>6.2</v>
      </c>
      <c r="B22" s="391" t="s">
        <v>575</v>
      </c>
      <c r="C22" s="434">
        <v>1981570981</v>
      </c>
      <c r="D22" s="434"/>
      <c r="E22" s="600">
        <f t="shared" si="1"/>
        <v>1981570981</v>
      </c>
    </row>
    <row r="23" spans="1:5" ht="14.4">
      <c r="A23" s="382">
        <v>7</v>
      </c>
      <c r="B23" s="385" t="s">
        <v>577</v>
      </c>
      <c r="C23" s="434"/>
      <c r="D23" s="434"/>
      <c r="E23" s="600">
        <f t="shared" si="1"/>
        <v>0</v>
      </c>
    </row>
    <row r="24" spans="1:5" ht="20.399999999999999">
      <c r="A24" s="382">
        <v>8</v>
      </c>
      <c r="B24" s="392" t="s">
        <v>578</v>
      </c>
      <c r="C24" s="434"/>
      <c r="D24" s="434"/>
      <c r="E24" s="600">
        <f t="shared" si="1"/>
        <v>0</v>
      </c>
    </row>
    <row r="25" spans="1:5" ht="14.4">
      <c r="A25" s="382">
        <v>9</v>
      </c>
      <c r="B25" s="388" t="s">
        <v>579</v>
      </c>
      <c r="C25" s="434">
        <f>SUM(C26:C27)</f>
        <v>45907008.240000017</v>
      </c>
      <c r="D25" s="434">
        <f>SUM(D26:D27)</f>
        <v>0</v>
      </c>
      <c r="E25" s="600">
        <f t="shared" si="1"/>
        <v>45907008.240000017</v>
      </c>
    </row>
    <row r="26" spans="1:5" ht="14.4">
      <c r="A26" s="382">
        <v>9.1</v>
      </c>
      <c r="B26" s="390" t="s">
        <v>580</v>
      </c>
      <c r="C26" s="434">
        <v>45907008.240000017</v>
      </c>
      <c r="D26" s="434"/>
      <c r="E26" s="600">
        <f t="shared" si="1"/>
        <v>45907008.240000017</v>
      </c>
    </row>
    <row r="27" spans="1:5" ht="14.4">
      <c r="A27" s="382">
        <v>9.1999999999999993</v>
      </c>
      <c r="B27" s="390" t="s">
        <v>581</v>
      </c>
      <c r="C27" s="434"/>
      <c r="D27" s="434"/>
      <c r="E27" s="600">
        <f t="shared" si="1"/>
        <v>0</v>
      </c>
    </row>
    <row r="28" spans="1:5" ht="14.4">
      <c r="A28" s="382">
        <v>10</v>
      </c>
      <c r="B28" s="388" t="s">
        <v>582</v>
      </c>
      <c r="C28" s="434">
        <f>SUM(C29:C30)</f>
        <v>24667339.510000005</v>
      </c>
      <c r="D28" s="434">
        <f>SUM(D29:D30)</f>
        <v>24667339.510000005</v>
      </c>
      <c r="E28" s="600">
        <f t="shared" si="1"/>
        <v>0</v>
      </c>
    </row>
    <row r="29" spans="1:5" ht="14.4">
      <c r="A29" s="382">
        <v>10.1</v>
      </c>
      <c r="B29" s="390" t="s">
        <v>583</v>
      </c>
      <c r="C29" s="434"/>
      <c r="D29" s="434"/>
      <c r="E29" s="600">
        <f t="shared" si="1"/>
        <v>0</v>
      </c>
    </row>
    <row r="30" spans="1:5" ht="14.4">
      <c r="A30" s="382">
        <v>10.199999999999999</v>
      </c>
      <c r="B30" s="390" t="s">
        <v>584</v>
      </c>
      <c r="C30" s="434">
        <v>24667339.510000005</v>
      </c>
      <c r="D30" s="434">
        <v>24667339.510000005</v>
      </c>
      <c r="E30" s="600">
        <f t="shared" si="1"/>
        <v>0</v>
      </c>
    </row>
    <row r="31" spans="1:5" ht="14.4">
      <c r="A31" s="382">
        <v>11</v>
      </c>
      <c r="B31" s="388" t="s">
        <v>585</v>
      </c>
      <c r="C31" s="434">
        <f>SUM(C32:C33)</f>
        <v>2160944.36</v>
      </c>
      <c r="D31" s="434">
        <f>SUM(D32:D33)</f>
        <v>0</v>
      </c>
      <c r="E31" s="600">
        <f t="shared" si="1"/>
        <v>2160944.36</v>
      </c>
    </row>
    <row r="32" spans="1:5" ht="14.4">
      <c r="A32" s="382">
        <v>11.1</v>
      </c>
      <c r="B32" s="390" t="s">
        <v>586</v>
      </c>
      <c r="C32" s="434">
        <v>2160944.36</v>
      </c>
      <c r="D32" s="434"/>
      <c r="E32" s="600">
        <f t="shared" si="1"/>
        <v>2160944.36</v>
      </c>
    </row>
    <row r="33" spans="1:7" ht="14.4">
      <c r="A33" s="382">
        <v>11.2</v>
      </c>
      <c r="B33" s="390" t="s">
        <v>587</v>
      </c>
      <c r="C33" s="434"/>
      <c r="D33" s="434"/>
      <c r="E33" s="600">
        <f t="shared" si="1"/>
        <v>0</v>
      </c>
    </row>
    <row r="34" spans="1:7" ht="14.4">
      <c r="A34" s="382">
        <v>13</v>
      </c>
      <c r="B34" s="388" t="s">
        <v>588</v>
      </c>
      <c r="C34" s="434">
        <v>44037733</v>
      </c>
      <c r="D34" s="434"/>
      <c r="E34" s="600">
        <f t="shared" si="1"/>
        <v>44037733</v>
      </c>
    </row>
    <row r="35" spans="1:7" ht="14.4">
      <c r="A35" s="382">
        <v>13.1</v>
      </c>
      <c r="B35" s="393" t="s">
        <v>589</v>
      </c>
      <c r="C35" s="434">
        <v>13792672</v>
      </c>
      <c r="D35" s="434"/>
      <c r="E35" s="600">
        <f t="shared" si="1"/>
        <v>13792672</v>
      </c>
    </row>
    <row r="36" spans="1:7" ht="14.4">
      <c r="A36" s="382">
        <v>13.2</v>
      </c>
      <c r="B36" s="393" t="s">
        <v>590</v>
      </c>
      <c r="C36" s="434"/>
      <c r="D36" s="434"/>
      <c r="E36" s="600">
        <f t="shared" si="1"/>
        <v>0</v>
      </c>
    </row>
    <row r="37" spans="1:7" ht="27" thickBot="1">
      <c r="A37" s="109"/>
      <c r="B37" s="205" t="s">
        <v>235</v>
      </c>
      <c r="C37" s="153">
        <f>SUM(C8,C12,C14,C15,C16,C20,C23,C24,C25,C28,C31,C34)</f>
        <v>2470059870.0600004</v>
      </c>
      <c r="D37" s="153">
        <f>SUM(D8,D12,D14,D15,D16,D20,D23,D24,D25,D28,D31,D34)</f>
        <v>24667339.510000005</v>
      </c>
      <c r="E37" s="153">
        <f>SUM(E8,E12,E14,E15,E16,E20,E23,E24,E25,E28,E31,E34)</f>
        <v>2445392530.5500002</v>
      </c>
    </row>
    <row r="38" spans="1:7">
      <c r="A38" s="5"/>
      <c r="B38" s="5"/>
      <c r="C38" s="5"/>
      <c r="D38" s="5"/>
      <c r="E38" s="5"/>
    </row>
    <row r="39" spans="1:7">
      <c r="A39" s="5"/>
      <c r="B39" s="5"/>
      <c r="C39" s="5"/>
      <c r="D39" s="5"/>
      <c r="E39" s="5"/>
    </row>
    <row r="41" spans="1:7" s="4" customFormat="1">
      <c r="B41" s="43"/>
      <c r="F41" s="5"/>
      <c r="G41" s="5"/>
    </row>
    <row r="42" spans="1:7" s="4" customFormat="1">
      <c r="B42" s="43"/>
      <c r="F42" s="5"/>
      <c r="G42" s="5"/>
    </row>
    <row r="43" spans="1:7" s="4" customFormat="1">
      <c r="B43" s="43"/>
      <c r="F43" s="5"/>
      <c r="G43" s="5"/>
    </row>
    <row r="44" spans="1:7" s="4" customFormat="1">
      <c r="B44" s="43"/>
      <c r="F44" s="5"/>
      <c r="G44" s="5"/>
    </row>
    <row r="45" spans="1:7" s="4" customFormat="1">
      <c r="B45" s="43"/>
      <c r="F45" s="5"/>
      <c r="G45" s="5"/>
    </row>
    <row r="46" spans="1:7" s="4" customFormat="1">
      <c r="B46" s="43"/>
      <c r="F46" s="5"/>
      <c r="G46" s="5"/>
    </row>
    <row r="47" spans="1:7" s="4" customFormat="1">
      <c r="B47" s="43"/>
      <c r="F47" s="5"/>
      <c r="G47" s="5"/>
    </row>
    <row r="48" spans="1:7" s="4" customFormat="1">
      <c r="B48" s="43"/>
      <c r="F48" s="5"/>
      <c r="G48" s="5"/>
    </row>
    <row r="49" spans="2:7" s="4" customFormat="1">
      <c r="B49" s="43"/>
      <c r="F49" s="5"/>
      <c r="G49" s="5"/>
    </row>
    <row r="50" spans="2:7" s="4" customFormat="1">
      <c r="B50" s="43"/>
      <c r="F50" s="5"/>
      <c r="G50" s="5"/>
    </row>
    <row r="51" spans="2:7" s="4" customFormat="1">
      <c r="B51" s="43"/>
      <c r="F51" s="5"/>
      <c r="G51" s="5"/>
    </row>
    <row r="52" spans="2:7" s="4" customFormat="1">
      <c r="B52" s="43"/>
      <c r="F52" s="5"/>
      <c r="G52" s="5"/>
    </row>
    <row r="53" spans="2:7" s="4" customFormat="1">
      <c r="B53" s="43"/>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23" sqref="B23"/>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30</v>
      </c>
      <c r="B1" s="3" t="str">
        <f>'Info '!C2</f>
        <v>JSC "CREDOBANK"</v>
      </c>
    </row>
    <row r="2" spans="1:6" s="2" customFormat="1" ht="15.75" customHeight="1">
      <c r="A2" s="2" t="s">
        <v>31</v>
      </c>
      <c r="B2" s="330">
        <f>'1. key ratios '!B2</f>
        <v>45291</v>
      </c>
      <c r="C2" s="4"/>
      <c r="D2" s="4"/>
      <c r="E2" s="4"/>
      <c r="F2" s="4"/>
    </row>
    <row r="3" spans="1:6" s="2" customFormat="1" ht="15.75" customHeight="1">
      <c r="C3" s="4"/>
      <c r="D3" s="4"/>
      <c r="E3" s="4"/>
      <c r="F3" s="4"/>
    </row>
    <row r="4" spans="1:6" s="2" customFormat="1" ht="13.8" thickBot="1">
      <c r="A4" s="2" t="s">
        <v>46</v>
      </c>
      <c r="B4" s="206" t="s">
        <v>557</v>
      </c>
      <c r="C4" s="39" t="s">
        <v>35</v>
      </c>
      <c r="D4" s="4"/>
      <c r="E4" s="4"/>
      <c r="F4" s="4"/>
    </row>
    <row r="5" spans="1:6">
      <c r="A5" s="157">
        <v>1</v>
      </c>
      <c r="B5" s="207" t="s">
        <v>559</v>
      </c>
      <c r="C5" s="158">
        <f>'7. LI1 '!E37</f>
        <v>2445392530.5500002</v>
      </c>
    </row>
    <row r="6" spans="1:6">
      <c r="A6" s="44">
        <v>2.1</v>
      </c>
      <c r="B6" s="107" t="s">
        <v>215</v>
      </c>
      <c r="C6" s="98">
        <v>56199564</v>
      </c>
    </row>
    <row r="7" spans="1:6" s="29" customFormat="1" outlineLevel="1">
      <c r="A7" s="23">
        <v>2.2000000000000002</v>
      </c>
      <c r="B7" s="24" t="s">
        <v>216</v>
      </c>
      <c r="C7" s="159">
        <v>230946324.5</v>
      </c>
    </row>
    <row r="8" spans="1:6" s="29" customFormat="1">
      <c r="A8" s="23">
        <v>3</v>
      </c>
      <c r="B8" s="155" t="s">
        <v>558</v>
      </c>
      <c r="C8" s="160">
        <f>SUM(C5:C7)</f>
        <v>2732538419.0500002</v>
      </c>
    </row>
    <row r="9" spans="1:6">
      <c r="A9" s="44">
        <v>4</v>
      </c>
      <c r="B9" s="45" t="s">
        <v>48</v>
      </c>
      <c r="C9" s="98"/>
    </row>
    <row r="10" spans="1:6" s="29" customFormat="1" outlineLevel="1">
      <c r="A10" s="23">
        <v>5.0999999999999996</v>
      </c>
      <c r="B10" s="24" t="s">
        <v>217</v>
      </c>
      <c r="C10" s="159">
        <v>-28427648</v>
      </c>
    </row>
    <row r="11" spans="1:6" s="29" customFormat="1" outlineLevel="1">
      <c r="A11" s="23">
        <v>5.2</v>
      </c>
      <c r="B11" s="24" t="s">
        <v>218</v>
      </c>
      <c r="C11" s="159">
        <v>-226327398.00999999</v>
      </c>
    </row>
    <row r="12" spans="1:6" s="29" customFormat="1">
      <c r="A12" s="23">
        <v>6</v>
      </c>
      <c r="B12" s="154" t="s">
        <v>360</v>
      </c>
      <c r="C12" s="159"/>
    </row>
    <row r="13" spans="1:6" s="29" customFormat="1" ht="13.8" thickBot="1">
      <c r="A13" s="25">
        <v>7</v>
      </c>
      <c r="B13" s="156" t="s">
        <v>178</v>
      </c>
      <c r="C13" s="161">
        <f>SUM(C8:C12)</f>
        <v>2477783373.04</v>
      </c>
    </row>
    <row r="15" spans="1:6" ht="26.4">
      <c r="B15" s="29" t="s">
        <v>361</v>
      </c>
    </row>
    <row r="17" spans="1:2" ht="13.8">
      <c r="A17" s="168"/>
      <c r="B17" s="169"/>
    </row>
    <row r="18" spans="1:2" ht="14.4">
      <c r="A18" s="173"/>
      <c r="B18" s="174"/>
    </row>
    <row r="19" spans="1:2" ht="13.8">
      <c r="A19" s="175"/>
      <c r="B19" s="170"/>
    </row>
    <row r="20" spans="1:2" ht="13.8">
      <c r="A20" s="176"/>
      <c r="B20" s="171"/>
    </row>
    <row r="21" spans="1:2" ht="13.8">
      <c r="A21" s="176"/>
      <c r="B21" s="174"/>
    </row>
    <row r="22" spans="1:2" ht="13.8">
      <c r="A22" s="175"/>
      <c r="B22" s="172"/>
    </row>
    <row r="23" spans="1:2" ht="13.8">
      <c r="A23" s="176"/>
      <c r="B23" s="171"/>
    </row>
    <row r="24" spans="1:2" ht="13.8">
      <c r="A24" s="176"/>
      <c r="B24" s="171"/>
    </row>
    <row r="25" spans="1:2" ht="13.8">
      <c r="A25" s="176"/>
      <c r="B25" s="177"/>
    </row>
    <row r="26" spans="1:2" ht="13.8">
      <c r="A26" s="176"/>
      <c r="B26" s="174"/>
    </row>
    <row r="27" spans="1:2">
      <c r="B27" s="43"/>
    </row>
    <row r="28" spans="1:2">
      <c r="B28" s="43"/>
    </row>
    <row r="29" spans="1:2">
      <c r="B29" s="43"/>
    </row>
    <row r="30" spans="1:2">
      <c r="B30" s="43"/>
    </row>
    <row r="31" spans="1:2">
      <c r="B31" s="43"/>
    </row>
    <row r="32" spans="1:2">
      <c r="B32" s="43"/>
    </row>
    <row r="33" spans="2:2">
      <c r="B33" s="4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uNdmAmdSIwww6D62Fslqt2aurEUa0dRJfrhEnyGNgCo=</DigestValue>
    </Reference>
    <Reference Type="http://www.w3.org/2000/09/xmldsig#Object" URI="#idOfficeObject">
      <DigestMethod Algorithm="http://www.w3.org/2001/04/xmlenc#sha256"/>
      <DigestValue>Y/YcZvQVDMlIaJsf5bFcM04/R20+tOlM25FRf+39Xr4=</DigestValue>
    </Reference>
    <Reference Type="http://uri.etsi.org/01903#SignedProperties" URI="#idSignedProperties">
      <Transforms>
        <Transform Algorithm="http://www.w3.org/TR/2001/REC-xml-c14n-20010315"/>
      </Transforms>
      <DigestMethod Algorithm="http://www.w3.org/2001/04/xmlenc#sha256"/>
      <DigestValue>ujY0r4OVOMBCOgLiuZo1sD56fhc8SYCRHfnwesG/scQ=</DigestValue>
    </Reference>
  </SignedInfo>
  <SignatureValue>o71Gj0GlS2zDrEov5l44lz3MgCIorkY/uXSVyhGfGqctZCxJjN0o0zD+a8JXRwmOjJON7W/eRzSK
zB3UwCbNFaEMA+7de0YaU/6pyLQ19DkDrk+WMzUj0bkdKgjtb3jQ2bRjqnHaHES7zJICQ1hWYEiA
eWGMhFuTWqMO4Cj9gSaUGbUJ8Z5Nca72/Z8lGBOibSBSiKeigTRM/5TuDjPZQOkZDJssKs6Xgqax
EbJDDBt2YZ2Js6MVa3MQn3SmbU63WzslsCRl43bVczdCWwhu22uBPLMDM+8wTEBbLu43giaQ61NV
8Lu3HdmT/VKVcA8RrlpNVnBO+f9euJ2aHrFP0A==</SignatureValue>
  <KeyInfo>
    <X509Data>
      <X509Certificate>MIIGRDCCBSygAwIBAgIKKy7S3QADAAI3djANBgkqhkiG9w0BAQsFADBKMRIwEAYKCZImiZPyLGQBGRYCZ2UxEzARBgoJkiaJk/IsZAEZFgNuYmcxHzAdBgNVBAMTFk5CRyBDbGFzcyAyIElOVCBTdWIgQ0EwHhcNMjMwNjE2MDgwNTQ3WhcNMjUwNjE1MDgwNTQ3WjBCMRcwFQYDVQQKEw5KU0MgQ3JlZG8gQmFuazEnMCUGA1UEAxMeQkNEIC0gS29uc3RhbnRpbmUgR2hhbWJhc2hpZHplMIIBIjANBgkqhkiG9w0BAQEFAAOCAQ8AMIIBCgKCAQEA6ySQjPOg9/Hc3sXzEa+Xn08LVLkXyQ8+37IBPE5kJfn0YFTtHGxqxbzj/MZwdyV31c9SCE/kHVWpIRT7MF0kGbgoZNF0pTNYcmhOQU03ebGJ9yyDds8HgYVzoM7e2S8NSNyq2JPsKpyb72FyjHKD7VVBrUJM3WCsC2chjipvYizU9gMwxNzTPz9kT7zn4LuM6TSyrYSYB/oD+ooh0MKP7EE/4oJWz5UoVrmMbZIJc+R7MyabgDD53h7Tzpn+7SI4e65TwEBB/5zDmtuTNW/Inp7OPsoFD05atAPJFkdN1NEF7jfoNAa84UF2kOd5uU46gostlnPN/sqTyaWIX9as3QIDAQABo4IDMjCCAy4wPAYJKwYBBAGCNxUHBC8wLQYlKwYBBAGCNxUI5rJgg431RIaBmQmDuKFKg76EcQSDxJEzhIOIXQIBZAIBIzAdBgNVHSUEFjAUBggrBgEFBQcDAgYIKwYBBQUHAwQwCwYDVR0PBAQDAgeAMCcGCSsGAQQBgjcVCgQaMBgwCgYIKwYBBQUHAwIwCgYIKwYBBQUHAwQwHQYDVR0OBBYEFL/irtUv844KPAED+zVmPWx7bSH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qwWQesdOFPXG0FBpAJfwknFIxKrgyTWXse6yDOtyHX7S7PR7ukyysbO8MMscJiumA7ImwDZ0iOddUffSQFEgiqB04NvklRhElfN4KM+QbucgqDCL2ydHQtO+S6gH5nck01KkQIrRwcy+yItrvImdGaMquD+gMcdarX2zqxHpYfotlfPCbtDyS+cUKBNqU77U5O1stwjKZ41NDwBROc+//hfDWTWI+B+0zXlr2ikHaRmIBXIQhvlmG+YbEB7SIz/EacBWA0HKlm6HeEhqaiZxn3bR1knRZ3FxSqZpOGf/TZp3ZU9PNDDdIpBDgBqDHDHRHFxigo9bMuUIJ4nTSKmA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oYRWfADXEJLBXoKC3hhQFMVVLofusLytKa5hYKj6vok=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kL/prL4Yrfqp9QonZTUiTWX3ATqUxbNkTDR9dl2iZh4=</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hg5ArcVlUl4XGnr1grluVTHt3PvE/3PdKWD4n4DxNPg=</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9cV1PmbrOkTIFxv4H7v0LHhF6vhx7ymbZdNSfIYZpV0=</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9cV1PmbrOkTIFxv4H7v0LHhF6vhx7ymbZdNSfIYZpV0=</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T2kNLZQQkaFOUKZh7x1LpAwQYdIAhEY+hw8xI0OhxCE=</DigestValue>
      </Reference>
      <Reference URI="/xl/styles.xml?ContentType=application/vnd.openxmlformats-officedocument.spreadsheetml.styles+xml">
        <DigestMethod Algorithm="http://www.w3.org/2001/04/xmlenc#sha256"/>
        <DigestValue>S5d4/h0z59hY9OgPJQqXlhaXcdiQUhbWbErdJs7j08k=</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jMoUIl/Yc6VPA9vetZUjN5fNB40022FCsWO00XUpVHo=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5OxY7BXhHbbaWFgU8uy/o/6nPbcnKf+auvS7mhALPv4=</DigestValue>
      </Reference>
      <Reference URI="/xl/worksheets/sheet10.xml?ContentType=application/vnd.openxmlformats-officedocument.spreadsheetml.worksheet+xml">
        <DigestMethod Algorithm="http://www.w3.org/2001/04/xmlenc#sha256"/>
        <DigestValue>uuRISjjQqaIv+NHeWKkrfIMKK0qHtOerTxxS1u6WQkM=</DigestValue>
      </Reference>
      <Reference URI="/xl/worksheets/sheet11.xml?ContentType=application/vnd.openxmlformats-officedocument.spreadsheetml.worksheet+xml">
        <DigestMethod Algorithm="http://www.w3.org/2001/04/xmlenc#sha256"/>
        <DigestValue>qfSzYVb263fmyq/YsebtqInJD72yIlbksSj/IvexSik=</DigestValue>
      </Reference>
      <Reference URI="/xl/worksheets/sheet12.xml?ContentType=application/vnd.openxmlformats-officedocument.spreadsheetml.worksheet+xml">
        <DigestMethod Algorithm="http://www.w3.org/2001/04/xmlenc#sha256"/>
        <DigestValue>+pGCqDq+lFbFD/uEtXMyXdEUIlsiJ4wKXPG4vyYOx/4=</DigestValue>
      </Reference>
      <Reference URI="/xl/worksheets/sheet13.xml?ContentType=application/vnd.openxmlformats-officedocument.spreadsheetml.worksheet+xml">
        <DigestMethod Algorithm="http://www.w3.org/2001/04/xmlenc#sha256"/>
        <DigestValue>BHskmgMv+g3XUj3tSlCpZ2xQ85UWPpvhM1N+Qxn7Yss=</DigestValue>
      </Reference>
      <Reference URI="/xl/worksheets/sheet14.xml?ContentType=application/vnd.openxmlformats-officedocument.spreadsheetml.worksheet+xml">
        <DigestMethod Algorithm="http://www.w3.org/2001/04/xmlenc#sha256"/>
        <DigestValue>yenPTQVma19jPgWuelujLjMRM3TwsJFrDu/vTK7QEzc=</DigestValue>
      </Reference>
      <Reference URI="/xl/worksheets/sheet15.xml?ContentType=application/vnd.openxmlformats-officedocument.spreadsheetml.worksheet+xml">
        <DigestMethod Algorithm="http://www.w3.org/2001/04/xmlenc#sha256"/>
        <DigestValue>U1tyeBHz6B9Kzgb70RT/bgnx/TS5kHANsi+wqzZeprY=</DigestValue>
      </Reference>
      <Reference URI="/xl/worksheets/sheet16.xml?ContentType=application/vnd.openxmlformats-officedocument.spreadsheetml.worksheet+xml">
        <DigestMethod Algorithm="http://www.w3.org/2001/04/xmlenc#sha256"/>
        <DigestValue>/6FuDBAf1zWl+1U+202aMiQvbKrRyHEl1tDkjM2F9Xc=</DigestValue>
      </Reference>
      <Reference URI="/xl/worksheets/sheet17.xml?ContentType=application/vnd.openxmlformats-officedocument.spreadsheetml.worksheet+xml">
        <DigestMethod Algorithm="http://www.w3.org/2001/04/xmlenc#sha256"/>
        <DigestValue>Oj4zENzdjqvJR0vA1d7jTHot14lHB7lG3DG8m+BAdJo=</DigestValue>
      </Reference>
      <Reference URI="/xl/worksheets/sheet18.xml?ContentType=application/vnd.openxmlformats-officedocument.spreadsheetml.worksheet+xml">
        <DigestMethod Algorithm="http://www.w3.org/2001/04/xmlenc#sha256"/>
        <DigestValue>wUz/GCrF+VJgFSsYEusjx7JeGRqAP40XAR50ZzpF2sc=</DigestValue>
      </Reference>
      <Reference URI="/xl/worksheets/sheet19.xml?ContentType=application/vnd.openxmlformats-officedocument.spreadsheetml.worksheet+xml">
        <DigestMethod Algorithm="http://www.w3.org/2001/04/xmlenc#sha256"/>
        <DigestValue>etTZChfS1ym1wyug7zrUDUcy1sH713qtHFotYsdIfaY=</DigestValue>
      </Reference>
      <Reference URI="/xl/worksheets/sheet2.xml?ContentType=application/vnd.openxmlformats-officedocument.spreadsheetml.worksheet+xml">
        <DigestMethod Algorithm="http://www.w3.org/2001/04/xmlenc#sha256"/>
        <DigestValue>ju//pJOnNhQ4m8konWlLvnWIeLi1eAkg7gQCwDiJTwg=</DigestValue>
      </Reference>
      <Reference URI="/xl/worksheets/sheet20.xml?ContentType=application/vnd.openxmlformats-officedocument.spreadsheetml.worksheet+xml">
        <DigestMethod Algorithm="http://www.w3.org/2001/04/xmlenc#sha256"/>
        <DigestValue>fjqFWykaqgjVm4m9rM/ReXwyphREsRXb0Ve48SlPLhU=</DigestValue>
      </Reference>
      <Reference URI="/xl/worksheets/sheet21.xml?ContentType=application/vnd.openxmlformats-officedocument.spreadsheetml.worksheet+xml">
        <DigestMethod Algorithm="http://www.w3.org/2001/04/xmlenc#sha256"/>
        <DigestValue>xgeLZSIv3gf0QCUed+Vv22T1tHjaDNSBk5ZSUUV+lwc=</DigestValue>
      </Reference>
      <Reference URI="/xl/worksheets/sheet22.xml?ContentType=application/vnd.openxmlformats-officedocument.spreadsheetml.worksheet+xml">
        <DigestMethod Algorithm="http://www.w3.org/2001/04/xmlenc#sha256"/>
        <DigestValue>d3TnGocV1m6G0bk/dAxg7JjVOveEK6efAffmwsA3FmM=</DigestValue>
      </Reference>
      <Reference URI="/xl/worksheets/sheet23.xml?ContentType=application/vnd.openxmlformats-officedocument.spreadsheetml.worksheet+xml">
        <DigestMethod Algorithm="http://www.w3.org/2001/04/xmlenc#sha256"/>
        <DigestValue>zj9/Sir5osnKi2kgfeK9C0bLvr2aYwYn0CjbNt0Y6TM=</DigestValue>
      </Reference>
      <Reference URI="/xl/worksheets/sheet24.xml?ContentType=application/vnd.openxmlformats-officedocument.spreadsheetml.worksheet+xml">
        <DigestMethod Algorithm="http://www.w3.org/2001/04/xmlenc#sha256"/>
        <DigestValue>YXZRpGP2brNqoyUavnhRZ/c8MfeQQMIg5oK7ErtvOFg=</DigestValue>
      </Reference>
      <Reference URI="/xl/worksheets/sheet25.xml?ContentType=application/vnd.openxmlformats-officedocument.spreadsheetml.worksheet+xml">
        <DigestMethod Algorithm="http://www.w3.org/2001/04/xmlenc#sha256"/>
        <DigestValue>h4vdK1egBYUMmgCqiabFpbdJNbvIEETN7J7puul/Ujg=</DigestValue>
      </Reference>
      <Reference URI="/xl/worksheets/sheet26.xml?ContentType=application/vnd.openxmlformats-officedocument.spreadsheetml.worksheet+xml">
        <DigestMethod Algorithm="http://www.w3.org/2001/04/xmlenc#sha256"/>
        <DigestValue>uQth0JGp/rZmsnJrLvMGWIIe6vZG+59jbR7trGBdG+Q=</DigestValue>
      </Reference>
      <Reference URI="/xl/worksheets/sheet27.xml?ContentType=application/vnd.openxmlformats-officedocument.spreadsheetml.worksheet+xml">
        <DigestMethod Algorithm="http://www.w3.org/2001/04/xmlenc#sha256"/>
        <DigestValue>oAknFRFrO3cmAobDJQZQF0DylTBPrMW43UP0+Zx3gwo=</DigestValue>
      </Reference>
      <Reference URI="/xl/worksheets/sheet28.xml?ContentType=application/vnd.openxmlformats-officedocument.spreadsheetml.worksheet+xml">
        <DigestMethod Algorithm="http://www.w3.org/2001/04/xmlenc#sha256"/>
        <DigestValue>GiPFm/Yfi9VstOFtsWEF+ORGmrYvJWQ82EGlHbDnOpI=</DigestValue>
      </Reference>
      <Reference URI="/xl/worksheets/sheet29.xml?ContentType=application/vnd.openxmlformats-officedocument.spreadsheetml.worksheet+xml">
        <DigestMethod Algorithm="http://www.w3.org/2001/04/xmlenc#sha256"/>
        <DigestValue>q40jzNoEymbUF/WrA6Dt+vBFbr9C9+Mj974D59oCmFo=</DigestValue>
      </Reference>
      <Reference URI="/xl/worksheets/sheet3.xml?ContentType=application/vnd.openxmlformats-officedocument.spreadsheetml.worksheet+xml">
        <DigestMethod Algorithm="http://www.w3.org/2001/04/xmlenc#sha256"/>
        <DigestValue>I67HVrVgMWtNa9ueVaN4Gksq7JOHa/TmmJdaSGUs7Rw=</DigestValue>
      </Reference>
      <Reference URI="/xl/worksheets/sheet4.xml?ContentType=application/vnd.openxmlformats-officedocument.spreadsheetml.worksheet+xml">
        <DigestMethod Algorithm="http://www.w3.org/2001/04/xmlenc#sha256"/>
        <DigestValue>HCWPrVtvkFtAp2KJ+YZDwSJJ65j3HN5z71DxorNW+YY=</DigestValue>
      </Reference>
      <Reference URI="/xl/worksheets/sheet5.xml?ContentType=application/vnd.openxmlformats-officedocument.spreadsheetml.worksheet+xml">
        <DigestMethod Algorithm="http://www.w3.org/2001/04/xmlenc#sha256"/>
        <DigestValue>F1Tylh51sXQTJIs1noqHV0QQUFOMOKoB135Pcz4/jFo=</DigestValue>
      </Reference>
      <Reference URI="/xl/worksheets/sheet6.xml?ContentType=application/vnd.openxmlformats-officedocument.spreadsheetml.worksheet+xml">
        <DigestMethod Algorithm="http://www.w3.org/2001/04/xmlenc#sha256"/>
        <DigestValue>At8WhWb/wzwhRMnwJNMGVgvgtasnbbs2G1ImDpk896U=</DigestValue>
      </Reference>
      <Reference URI="/xl/worksheets/sheet7.xml?ContentType=application/vnd.openxmlformats-officedocument.spreadsheetml.worksheet+xml">
        <DigestMethod Algorithm="http://www.w3.org/2001/04/xmlenc#sha256"/>
        <DigestValue>2/V2m/3WXvQti3qQlD7/irbUY0BSlb0FkanUo8Aqd2g=</DigestValue>
      </Reference>
      <Reference URI="/xl/worksheets/sheet8.xml?ContentType=application/vnd.openxmlformats-officedocument.spreadsheetml.worksheet+xml">
        <DigestMethod Algorithm="http://www.w3.org/2001/04/xmlenc#sha256"/>
        <DigestValue>UAfhKC68oY3p2215Xy8V2KtOzi7pcPZtlwbh5mwwyM0=</DigestValue>
      </Reference>
      <Reference URI="/xl/worksheets/sheet9.xml?ContentType=application/vnd.openxmlformats-officedocument.spreadsheetml.worksheet+xml">
        <DigestMethod Algorithm="http://www.w3.org/2001/04/xmlenc#sha256"/>
        <DigestValue>f6N//fsnCwYRNL6SlYUnbO+4njragyR2iWyoFBpWgws=</DigestValue>
      </Reference>
    </Manifest>
    <SignatureProperties>
      <SignatureProperty Id="idSignatureTime" Target="#idPackageSignature">
        <mdssi:SignatureTime xmlns:mdssi="http://schemas.openxmlformats.org/package/2006/digital-signature">
          <mdssi:Format>YYYY-MM-DDThh:mm:ssTZD</mdssi:Format>
          <mdssi:Value>2024-04-17T15:23:15Z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2024-04-17T15:23:15Z</xd:SigningTime>
          <xd:SigningCertificate>
            <xd:Cert>
              <xd:CertDigest>
                <DigestMethod Algorithm="http://www.w3.org/2001/04/xmlenc#sha256"/>
                <DigestValue>1hSUnl0NOjl6jE3hV5+Dc2J11ZVMOhetdT0CqbpWONA=</DigestValue>
              </xd:CertDigest>
              <xd:IssuerSerial>
                <X509IssuerName>CN=NBG Class 2 INT Sub CA, DC=nbg, DC=ge</X509IssuerName>
                <X509SerialNumber>203925503291516086531958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vVWk/YL3ig6X0LIji9YGOW+Sc931+cph6ThevbotWc8=</DigestValue>
    </Reference>
    <Reference Type="http://www.w3.org/2000/09/xmldsig#Object" URI="#idOfficeObject">
      <DigestMethod Algorithm="http://www.w3.org/2001/04/xmlenc#sha256"/>
      <DigestValue>s22l+DwHsC9xldBcJ1zbg4JrHehHWtal3thCrIXwobY=</DigestValue>
    </Reference>
    <Reference Type="http://uri.etsi.org/01903#SignedProperties" URI="#idSignedProperties">
      <Transforms>
        <Transform Algorithm="http://www.w3.org/TR/2001/REC-xml-c14n-20010315"/>
      </Transforms>
      <DigestMethod Algorithm="http://www.w3.org/2001/04/xmlenc#sha256"/>
      <DigestValue>VQkL6G/au11TrqpiN6e3BEKklrPLZWEQVqZWZVmxVGY=</DigestValue>
    </Reference>
  </SignedInfo>
  <SignatureValue>CHpbpA32W5Ph8gUfrVJBV+h5Qj8gofw+7SssxoeXii55QimvIZD5TP0x+2mollybfInD3eEy1USl
zNykTw5XPAtMjHUYvzpoFbs221uU7wkbG0zASq3+YUd+11AoVLAeNmMQ0mk4UbJD8ze6XqcKShn8
9HwSyLVxXpHOHKpoWSmQQMLSkn1yCm8rV3L9Gen8l7zRU/7F3vtZxFpe7+W9EccyzAO4RXzD9h7X
k4mx6iRJdutNztn1vuBXhb0ffJdLaRbPcApgNno/ezCF3QqRG0l1QP72PsvVi8xqLi2IdXqW15uY
VCb5jcX7WGUfV3Di+YlagmESLwTIazlmgFrG8Q==</SignatureValue>
  <KeyInfo>
    <X509Data>
      <X509Certificate>MIIGPjCCBSagAwIBAgIKHZPGBwADAAI4wTANBgkqhkiG9w0BAQsFADBKMRIwEAYKCZImiZPyLGQBGRYCZ2UxEzARBgoJkiaJk/IsZAEZFgNuYmcxHzAdBgNVBAMTFk5CRyBDbGFzcyAyIElOVCBTdWIgQ0EwHhcNMjMwNzA1MTAzOTU0WhcNMjUwNzA0MTAzOTU0WjA8MRcwFQYDVQQKEw5KU0MgQ3JlZG8gQmFuazEhMB8GA1UEAxMYQkNEIC0gRXJla2xlIFphdGlhc2h2aWxpMIIBIjANBgkqhkiG9w0BAQEFAAOCAQ8AMIIBCgKCAQEA7bW9DMX0iR7EsqQh8o9bvXr+aEeGQUtJMsEIJWF0lP9zeqiRwv2angsCuy2ME7xPbjJFDEVTITO6/38aRqyaSOb1TdfSqzLgahOa3jgsXhSQlHozTrmWwmzHCWTSuIUol71hGTNGa9T7ejbvDVtgwlMpcDA0NZsi4qZ/oHdiJOTfZ7oz3oHxZABAXYTJZ0ZZ2BXUI+4Kc5f+kJzK+9UhM9Tsy2ooqi+QK4wlHw67pyARFbRd3XV8/i9T/MyANYm0QM0a+t3RH9wRS1bLeBRBA8NoHiX9bap7unfJp6ZliqliavAW94bzNLN4cQ+00HdVArGg/oGjWf7lCY9387WtJwIDAQABo4IDMjCCAy4wPAYJKwYBBAGCNxUHBC8wLQYlKwYBBAGCNxUI5rJgg431RIaBmQmDuKFKg76EcQSDxJEzhIOIXQIBZAIBIzAdBgNVHSUEFjAUBggrBgEFBQcDAgYIKwYBBQUHAwQwCwYDVR0PBAQDAgeAMCcGCSsGAQQBgjcVCgQaMBgwCgYIKwYBBQUHAwIwCgYIKwYBBQUHAwQwHQYDVR0OBBYEFHSZPQMxSyXM6nGWbGTe4BJpWb+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dPUuhza/HiypApCKI1cfD7a+gExMdmv2a/4NS0lQi07qAlHGcXd5Y76MGOj4UCe98Ge9/hFoe0V9jgaGOdv/1Y5F88jdCaQLVcVhFlCk7lfBcQCmjTg7DDv9CjuQyhhG4pmLtm8EiJSuxpR9d+TnsgIvrQOEjpvJi3rRMl4IQ4HZJD5+Od0sZGMmLX7BhZN0WgpFwpmwIoUV1o2+ohcN5CMeYTmxPyi8jkfuyEetSHJdfyVVo5h3lz69+9q0OVz5AO2ztYi0cLnZDX11jHoJVHyTqkMtcMTeSmEZsLH/Xm0AsZSeo9JYf/bZcWaRf16/Qj7SiAd3Ozw2H1QwDtG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oYRWfADXEJLBXoKC3hhQFMVVLofusLytKa5hYKj6vok=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kL/prL4Yrfqp9QonZTUiTWX3ATqUxbNkTDR9dl2iZh4=</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hg5ArcVlUl4XGnr1grluVTHt3PvE/3PdKWD4n4DxNPg=</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9cV1PmbrOkTIFxv4H7v0LHhF6vhx7ymbZdNSfIYZpV0=</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9cV1PmbrOkTIFxv4H7v0LHhF6vhx7ymbZdNSfIYZpV0=</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T2kNLZQQkaFOUKZh7x1LpAwQYdIAhEY+hw8xI0OhxCE=</DigestValue>
      </Reference>
      <Reference URI="/xl/styles.xml?ContentType=application/vnd.openxmlformats-officedocument.spreadsheetml.styles+xml">
        <DigestMethod Algorithm="http://www.w3.org/2001/04/xmlenc#sha256"/>
        <DigestValue>S5d4/h0z59hY9OgPJQqXlhaXcdiQUhbWbErdJs7j08k=</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jMoUIl/Yc6VPA9vetZUjN5fNB40022FCsWO00XUpVHo=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5OxY7BXhHbbaWFgU8uy/o/6nPbcnKf+auvS7mhALPv4=</DigestValue>
      </Reference>
      <Reference URI="/xl/worksheets/sheet10.xml?ContentType=application/vnd.openxmlformats-officedocument.spreadsheetml.worksheet+xml">
        <DigestMethod Algorithm="http://www.w3.org/2001/04/xmlenc#sha256"/>
        <DigestValue>uuRISjjQqaIv+NHeWKkrfIMKK0qHtOerTxxS1u6WQkM=</DigestValue>
      </Reference>
      <Reference URI="/xl/worksheets/sheet11.xml?ContentType=application/vnd.openxmlformats-officedocument.spreadsheetml.worksheet+xml">
        <DigestMethod Algorithm="http://www.w3.org/2001/04/xmlenc#sha256"/>
        <DigestValue>qfSzYVb263fmyq/YsebtqInJD72yIlbksSj/IvexSik=</DigestValue>
      </Reference>
      <Reference URI="/xl/worksheets/sheet12.xml?ContentType=application/vnd.openxmlformats-officedocument.spreadsheetml.worksheet+xml">
        <DigestMethod Algorithm="http://www.w3.org/2001/04/xmlenc#sha256"/>
        <DigestValue>+pGCqDq+lFbFD/uEtXMyXdEUIlsiJ4wKXPG4vyYOx/4=</DigestValue>
      </Reference>
      <Reference URI="/xl/worksheets/sheet13.xml?ContentType=application/vnd.openxmlformats-officedocument.spreadsheetml.worksheet+xml">
        <DigestMethod Algorithm="http://www.w3.org/2001/04/xmlenc#sha256"/>
        <DigestValue>BHskmgMv+g3XUj3tSlCpZ2xQ85UWPpvhM1N+Qxn7Yss=</DigestValue>
      </Reference>
      <Reference URI="/xl/worksheets/sheet14.xml?ContentType=application/vnd.openxmlformats-officedocument.spreadsheetml.worksheet+xml">
        <DigestMethod Algorithm="http://www.w3.org/2001/04/xmlenc#sha256"/>
        <DigestValue>yenPTQVma19jPgWuelujLjMRM3TwsJFrDu/vTK7QEzc=</DigestValue>
      </Reference>
      <Reference URI="/xl/worksheets/sheet15.xml?ContentType=application/vnd.openxmlformats-officedocument.spreadsheetml.worksheet+xml">
        <DigestMethod Algorithm="http://www.w3.org/2001/04/xmlenc#sha256"/>
        <DigestValue>U1tyeBHz6B9Kzgb70RT/bgnx/TS5kHANsi+wqzZeprY=</DigestValue>
      </Reference>
      <Reference URI="/xl/worksheets/sheet16.xml?ContentType=application/vnd.openxmlformats-officedocument.spreadsheetml.worksheet+xml">
        <DigestMethod Algorithm="http://www.w3.org/2001/04/xmlenc#sha256"/>
        <DigestValue>/6FuDBAf1zWl+1U+202aMiQvbKrRyHEl1tDkjM2F9Xc=</DigestValue>
      </Reference>
      <Reference URI="/xl/worksheets/sheet17.xml?ContentType=application/vnd.openxmlformats-officedocument.spreadsheetml.worksheet+xml">
        <DigestMethod Algorithm="http://www.w3.org/2001/04/xmlenc#sha256"/>
        <DigestValue>Oj4zENzdjqvJR0vA1d7jTHot14lHB7lG3DG8m+BAdJo=</DigestValue>
      </Reference>
      <Reference URI="/xl/worksheets/sheet18.xml?ContentType=application/vnd.openxmlformats-officedocument.spreadsheetml.worksheet+xml">
        <DigestMethod Algorithm="http://www.w3.org/2001/04/xmlenc#sha256"/>
        <DigestValue>wUz/GCrF+VJgFSsYEusjx7JeGRqAP40XAR50ZzpF2sc=</DigestValue>
      </Reference>
      <Reference URI="/xl/worksheets/sheet19.xml?ContentType=application/vnd.openxmlformats-officedocument.spreadsheetml.worksheet+xml">
        <DigestMethod Algorithm="http://www.w3.org/2001/04/xmlenc#sha256"/>
        <DigestValue>etTZChfS1ym1wyug7zrUDUcy1sH713qtHFotYsdIfaY=</DigestValue>
      </Reference>
      <Reference URI="/xl/worksheets/sheet2.xml?ContentType=application/vnd.openxmlformats-officedocument.spreadsheetml.worksheet+xml">
        <DigestMethod Algorithm="http://www.w3.org/2001/04/xmlenc#sha256"/>
        <DigestValue>ju//pJOnNhQ4m8konWlLvnWIeLi1eAkg7gQCwDiJTwg=</DigestValue>
      </Reference>
      <Reference URI="/xl/worksheets/sheet20.xml?ContentType=application/vnd.openxmlformats-officedocument.spreadsheetml.worksheet+xml">
        <DigestMethod Algorithm="http://www.w3.org/2001/04/xmlenc#sha256"/>
        <DigestValue>fjqFWykaqgjVm4m9rM/ReXwyphREsRXb0Ve48SlPLhU=</DigestValue>
      </Reference>
      <Reference URI="/xl/worksheets/sheet21.xml?ContentType=application/vnd.openxmlformats-officedocument.spreadsheetml.worksheet+xml">
        <DigestMethod Algorithm="http://www.w3.org/2001/04/xmlenc#sha256"/>
        <DigestValue>xgeLZSIv3gf0QCUed+Vv22T1tHjaDNSBk5ZSUUV+lwc=</DigestValue>
      </Reference>
      <Reference URI="/xl/worksheets/sheet22.xml?ContentType=application/vnd.openxmlformats-officedocument.spreadsheetml.worksheet+xml">
        <DigestMethod Algorithm="http://www.w3.org/2001/04/xmlenc#sha256"/>
        <DigestValue>d3TnGocV1m6G0bk/dAxg7JjVOveEK6efAffmwsA3FmM=</DigestValue>
      </Reference>
      <Reference URI="/xl/worksheets/sheet23.xml?ContentType=application/vnd.openxmlformats-officedocument.spreadsheetml.worksheet+xml">
        <DigestMethod Algorithm="http://www.w3.org/2001/04/xmlenc#sha256"/>
        <DigestValue>zj9/Sir5osnKi2kgfeK9C0bLvr2aYwYn0CjbNt0Y6TM=</DigestValue>
      </Reference>
      <Reference URI="/xl/worksheets/sheet24.xml?ContentType=application/vnd.openxmlformats-officedocument.spreadsheetml.worksheet+xml">
        <DigestMethod Algorithm="http://www.w3.org/2001/04/xmlenc#sha256"/>
        <DigestValue>YXZRpGP2brNqoyUavnhRZ/c8MfeQQMIg5oK7ErtvOFg=</DigestValue>
      </Reference>
      <Reference URI="/xl/worksheets/sheet25.xml?ContentType=application/vnd.openxmlformats-officedocument.spreadsheetml.worksheet+xml">
        <DigestMethod Algorithm="http://www.w3.org/2001/04/xmlenc#sha256"/>
        <DigestValue>h4vdK1egBYUMmgCqiabFpbdJNbvIEETN7J7puul/Ujg=</DigestValue>
      </Reference>
      <Reference URI="/xl/worksheets/sheet26.xml?ContentType=application/vnd.openxmlformats-officedocument.spreadsheetml.worksheet+xml">
        <DigestMethod Algorithm="http://www.w3.org/2001/04/xmlenc#sha256"/>
        <DigestValue>uQth0JGp/rZmsnJrLvMGWIIe6vZG+59jbR7trGBdG+Q=</DigestValue>
      </Reference>
      <Reference URI="/xl/worksheets/sheet27.xml?ContentType=application/vnd.openxmlformats-officedocument.spreadsheetml.worksheet+xml">
        <DigestMethod Algorithm="http://www.w3.org/2001/04/xmlenc#sha256"/>
        <DigestValue>oAknFRFrO3cmAobDJQZQF0DylTBPrMW43UP0+Zx3gwo=</DigestValue>
      </Reference>
      <Reference URI="/xl/worksheets/sheet28.xml?ContentType=application/vnd.openxmlformats-officedocument.spreadsheetml.worksheet+xml">
        <DigestMethod Algorithm="http://www.w3.org/2001/04/xmlenc#sha256"/>
        <DigestValue>GiPFm/Yfi9VstOFtsWEF+ORGmrYvJWQ82EGlHbDnOpI=</DigestValue>
      </Reference>
      <Reference URI="/xl/worksheets/sheet29.xml?ContentType=application/vnd.openxmlformats-officedocument.spreadsheetml.worksheet+xml">
        <DigestMethod Algorithm="http://www.w3.org/2001/04/xmlenc#sha256"/>
        <DigestValue>q40jzNoEymbUF/WrA6Dt+vBFbr9C9+Mj974D59oCmFo=</DigestValue>
      </Reference>
      <Reference URI="/xl/worksheets/sheet3.xml?ContentType=application/vnd.openxmlformats-officedocument.spreadsheetml.worksheet+xml">
        <DigestMethod Algorithm="http://www.w3.org/2001/04/xmlenc#sha256"/>
        <DigestValue>I67HVrVgMWtNa9ueVaN4Gksq7JOHa/TmmJdaSGUs7Rw=</DigestValue>
      </Reference>
      <Reference URI="/xl/worksheets/sheet4.xml?ContentType=application/vnd.openxmlformats-officedocument.spreadsheetml.worksheet+xml">
        <DigestMethod Algorithm="http://www.w3.org/2001/04/xmlenc#sha256"/>
        <DigestValue>HCWPrVtvkFtAp2KJ+YZDwSJJ65j3HN5z71DxorNW+YY=</DigestValue>
      </Reference>
      <Reference URI="/xl/worksheets/sheet5.xml?ContentType=application/vnd.openxmlformats-officedocument.spreadsheetml.worksheet+xml">
        <DigestMethod Algorithm="http://www.w3.org/2001/04/xmlenc#sha256"/>
        <DigestValue>F1Tylh51sXQTJIs1noqHV0QQUFOMOKoB135Pcz4/jFo=</DigestValue>
      </Reference>
      <Reference URI="/xl/worksheets/sheet6.xml?ContentType=application/vnd.openxmlformats-officedocument.spreadsheetml.worksheet+xml">
        <DigestMethod Algorithm="http://www.w3.org/2001/04/xmlenc#sha256"/>
        <DigestValue>At8WhWb/wzwhRMnwJNMGVgvgtasnbbs2G1ImDpk896U=</DigestValue>
      </Reference>
      <Reference URI="/xl/worksheets/sheet7.xml?ContentType=application/vnd.openxmlformats-officedocument.spreadsheetml.worksheet+xml">
        <DigestMethod Algorithm="http://www.w3.org/2001/04/xmlenc#sha256"/>
        <DigestValue>2/V2m/3WXvQti3qQlD7/irbUY0BSlb0FkanUo8Aqd2g=</DigestValue>
      </Reference>
      <Reference URI="/xl/worksheets/sheet8.xml?ContentType=application/vnd.openxmlformats-officedocument.spreadsheetml.worksheet+xml">
        <DigestMethod Algorithm="http://www.w3.org/2001/04/xmlenc#sha256"/>
        <DigestValue>UAfhKC68oY3p2215Xy8V2KtOzi7pcPZtlwbh5mwwyM0=</DigestValue>
      </Reference>
      <Reference URI="/xl/worksheets/sheet9.xml?ContentType=application/vnd.openxmlformats-officedocument.spreadsheetml.worksheet+xml">
        <DigestMethod Algorithm="http://www.w3.org/2001/04/xmlenc#sha256"/>
        <DigestValue>f6N//fsnCwYRNL6SlYUnbO+4njragyR2iWyoFBpWgws=</DigestValue>
      </Reference>
    </Manifest>
    <SignatureProperties>
      <SignatureProperty Id="idSignatureTime" Target="#idPackageSignature">
        <mdssi:SignatureTime xmlns:mdssi="http://schemas.openxmlformats.org/package/2006/digital-signature">
          <mdssi:Format>YYYY-MM-DDThh:mm:ssTZD</mdssi:Format>
          <mdssi:Value>2024-04-17T16:41:05Z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2024-04-17T16:41:05Z</xd:SigningTime>
          <xd:SigningCertificate>
            <xd:Cert>
              <xd:CertDigest>
                <DigestMethod Algorithm="http://www.w3.org/2001/04/xmlenc#sha256"/>
                <DigestValue>9CqlcYZU+h+a6OEYsaDhcKSas65fQf4/qf+iXcOEqSc=</DigestValue>
              </xd:CertDigest>
              <xd:IssuerSerial>
                <X509IssuerName>CN=NBG Class 2 INT Sub CA, DC=nbg, DC=ge</X509IssuerName>
                <X509SerialNumber>139674568756012247038145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B429E614-268B-4FA3-8744-4F6A371709D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2024-04-12T12:15:56Z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