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201_{84AB42D2-CE24-4E43-B0E8-81881F8F973B}" xr6:coauthVersionLast="47" xr6:coauthVersionMax="47" xr10:uidLastSave="{00000000-0000-0000-0000-000000000000}"/>
  <bookViews>
    <workbookView xWindow="-108" yWindow="-108" windowWidth="23256" windowHeight="12576" tabRatio="919" firstSheet="3" activeTab="4"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04" l="1"/>
  <c r="D19" i="104" s="1"/>
  <c r="R13" i="104"/>
  <c r="R19" i="104" s="1"/>
  <c r="Q13" i="104"/>
  <c r="Q19" i="104" s="1"/>
  <c r="P13" i="104"/>
  <c r="P19" i="104" s="1"/>
  <c r="O13" i="104"/>
  <c r="O19" i="104" s="1"/>
  <c r="N13" i="104"/>
  <c r="N19" i="104" s="1"/>
  <c r="L13" i="104"/>
  <c r="L19" i="104" s="1"/>
  <c r="K13" i="104"/>
  <c r="K19" i="104" s="1"/>
  <c r="J13" i="104"/>
  <c r="J19" i="104" s="1"/>
  <c r="I13" i="104"/>
  <c r="G13" i="104"/>
  <c r="G19" i="104" s="1"/>
  <c r="F13" i="104"/>
  <c r="F19" i="104" s="1"/>
  <c r="E13" i="104"/>
  <c r="E19" i="104" s="1"/>
  <c r="M20" i="104"/>
  <c r="M18" i="104"/>
  <c r="M17" i="104"/>
  <c r="M16" i="104"/>
  <c r="M15" i="104"/>
  <c r="M14" i="104"/>
  <c r="M12" i="104"/>
  <c r="M11" i="104"/>
  <c r="M10" i="104"/>
  <c r="M9" i="104"/>
  <c r="M8" i="104"/>
  <c r="M7" i="104"/>
  <c r="H20" i="104"/>
  <c r="H18" i="104"/>
  <c r="H17" i="104"/>
  <c r="H16" i="104"/>
  <c r="H15" i="104"/>
  <c r="H14" i="104"/>
  <c r="H12" i="104"/>
  <c r="H11" i="104"/>
  <c r="H10" i="104"/>
  <c r="H9" i="104"/>
  <c r="H8" i="104"/>
  <c r="H7" i="104"/>
  <c r="C20" i="104"/>
  <c r="C18" i="104"/>
  <c r="C17" i="104"/>
  <c r="C16" i="104"/>
  <c r="C15" i="104"/>
  <c r="C14" i="104"/>
  <c r="C12" i="104"/>
  <c r="C11" i="104"/>
  <c r="C10" i="104"/>
  <c r="C9" i="104"/>
  <c r="C8" i="104"/>
  <c r="C7" i="104"/>
  <c r="M13" i="104" l="1"/>
  <c r="M19" i="104" s="1"/>
  <c r="H13" i="104"/>
  <c r="H19" i="104" s="1"/>
  <c r="I19" i="104"/>
  <c r="C13" i="104"/>
  <c r="C19" i="104" s="1"/>
  <c r="G24" i="80" l="1"/>
  <c r="C23" i="80" l="1"/>
  <c r="F23" i="80"/>
  <c r="D23" i="80"/>
  <c r="D24" i="80"/>
  <c r="E24" i="80"/>
  <c r="F24" i="80"/>
  <c r="D16" i="80" l="1"/>
  <c r="E15" i="80"/>
  <c r="D15" i="80"/>
  <c r="F15" i="80" l="1"/>
  <c r="E13" i="80"/>
  <c r="D13" i="80"/>
  <c r="E12" i="80"/>
  <c r="D12" i="80"/>
  <c r="F12" i="80"/>
  <c r="C15" i="80"/>
  <c r="C12" i="80"/>
  <c r="V10" i="101" l="1"/>
  <c r="W10" i="101"/>
  <c r="X10" i="101"/>
  <c r="Y10" i="101"/>
  <c r="Z10" i="101"/>
  <c r="AA10" i="101"/>
  <c r="U10" i="101"/>
  <c r="T10" i="101"/>
  <c r="S10" i="101"/>
  <c r="R10" i="101"/>
  <c r="Q10" i="101"/>
  <c r="P10" i="101"/>
  <c r="O10" i="101"/>
  <c r="N10" i="101"/>
  <c r="M10" i="101"/>
  <c r="L10" i="101"/>
  <c r="K10" i="101"/>
  <c r="J10" i="101"/>
  <c r="I10" i="101"/>
  <c r="H10" i="101"/>
  <c r="G10" i="101"/>
  <c r="F10" i="101"/>
  <c r="E10" i="101"/>
  <c r="D10" i="101"/>
  <c r="C22" i="101"/>
  <c r="C21" i="101"/>
  <c r="C20" i="101"/>
  <c r="C19" i="101"/>
  <c r="C18" i="101"/>
  <c r="C17" i="101"/>
  <c r="C15" i="101"/>
  <c r="C14" i="101"/>
  <c r="C13" i="101"/>
  <c r="C12" i="101"/>
  <c r="C11" i="101"/>
  <c r="C9" i="101"/>
  <c r="C8" i="101"/>
  <c r="C10" i="101" l="1"/>
  <c r="D27" i="100" l="1"/>
  <c r="C17" i="100" l="1"/>
  <c r="AA8" i="100"/>
  <c r="Z8" i="100"/>
  <c r="Y8" i="100"/>
  <c r="X8" i="100"/>
  <c r="W8" i="100"/>
  <c r="V8" i="100"/>
  <c r="U8" i="100"/>
  <c r="S8" i="100"/>
  <c r="R8" i="100"/>
  <c r="Q8" i="100"/>
  <c r="P8" i="100"/>
  <c r="O8" i="100"/>
  <c r="N8" i="100"/>
  <c r="M8" i="100"/>
  <c r="K8" i="100"/>
  <c r="J8" i="100"/>
  <c r="I8" i="100"/>
  <c r="G8" i="100"/>
  <c r="F8" i="100"/>
  <c r="E8" i="100"/>
  <c r="C22" i="100"/>
  <c r="D15" i="100"/>
  <c r="C15" i="100" s="1"/>
  <c r="C14" i="100"/>
  <c r="C13" i="100"/>
  <c r="T8" i="100"/>
  <c r="L8" i="100"/>
  <c r="H8" i="100"/>
  <c r="D8" i="100"/>
  <c r="C8" i="100" l="1"/>
  <c r="J33" i="102" l="1"/>
  <c r="K33" i="102"/>
  <c r="L33" i="102"/>
  <c r="I33" i="102"/>
  <c r="H32" i="102"/>
  <c r="H31" i="102"/>
  <c r="H30" i="102"/>
  <c r="H29" i="102"/>
  <c r="H28" i="102"/>
  <c r="H27" i="102"/>
  <c r="H26" i="102"/>
  <c r="H25" i="102"/>
  <c r="H24" i="102"/>
  <c r="H23" i="102"/>
  <c r="H22" i="102"/>
  <c r="H21" i="102"/>
  <c r="H20" i="102"/>
  <c r="H19" i="102"/>
  <c r="H18" i="102"/>
  <c r="H17" i="102"/>
  <c r="H16" i="102"/>
  <c r="H15" i="102"/>
  <c r="H14" i="102"/>
  <c r="H13" i="102"/>
  <c r="H12" i="102"/>
  <c r="H11" i="102"/>
  <c r="H10" i="102"/>
  <c r="H9" i="102"/>
  <c r="H8" i="102"/>
  <c r="H7" i="102"/>
  <c r="E33" i="102"/>
  <c r="F33" i="102"/>
  <c r="G33" i="102"/>
  <c r="D33"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32" i="102"/>
  <c r="C33" i="102"/>
  <c r="C7" i="102"/>
  <c r="H33" i="102" l="1"/>
  <c r="G30" i="97"/>
  <c r="D21" i="36" l="1"/>
  <c r="F21" i="36"/>
  <c r="G21" i="36"/>
  <c r="I21" i="36"/>
  <c r="J21" i="36"/>
  <c r="C21" i="36"/>
  <c r="J24" i="36"/>
  <c r="J23" i="36"/>
  <c r="I23" i="36"/>
  <c r="G23" i="36"/>
  <c r="F23" i="36"/>
  <c r="H23" i="36" s="1"/>
  <c r="K19" i="36"/>
  <c r="K21" i="36" s="1"/>
  <c r="H19" i="36"/>
  <c r="H21" i="36" s="1"/>
  <c r="E19" i="36"/>
  <c r="E21" i="36" s="1"/>
  <c r="D16" i="36"/>
  <c r="F16" i="36"/>
  <c r="F24" i="36" s="1"/>
  <c r="G16" i="36"/>
  <c r="G24" i="36" s="1"/>
  <c r="I16" i="36"/>
  <c r="J16" i="36"/>
  <c r="C16" i="36"/>
  <c r="K15" i="36"/>
  <c r="K14" i="36"/>
  <c r="K13" i="36"/>
  <c r="K12" i="36"/>
  <c r="K11" i="36"/>
  <c r="K10" i="36"/>
  <c r="K16" i="36" s="1"/>
  <c r="H15" i="36"/>
  <c r="H14" i="36"/>
  <c r="H13" i="36"/>
  <c r="H12" i="36"/>
  <c r="H11" i="36"/>
  <c r="H10" i="36"/>
  <c r="H16" i="36" s="1"/>
  <c r="K8" i="36"/>
  <c r="H8" i="36"/>
  <c r="E11" i="36"/>
  <c r="E12" i="36"/>
  <c r="E13" i="36"/>
  <c r="E14" i="36"/>
  <c r="E15" i="36"/>
  <c r="E10" i="36"/>
  <c r="E16" i="36" s="1"/>
  <c r="I24" i="36" l="1"/>
  <c r="K24" i="36" s="1"/>
  <c r="F25" i="36"/>
  <c r="G25" i="36"/>
  <c r="I25" i="36"/>
  <c r="J25" i="36"/>
  <c r="H24" i="36"/>
  <c r="H25" i="36" s="1"/>
  <c r="K23" i="36"/>
  <c r="K25" i="36" s="1"/>
  <c r="C7" i="79" l="1"/>
  <c r="E22" i="96"/>
  <c r="C22" i="96"/>
  <c r="D22" i="96"/>
  <c r="C39" i="94" l="1"/>
  <c r="C40" i="94"/>
  <c r="C22" i="74" l="1"/>
  <c r="H9" i="74"/>
  <c r="H10" i="74"/>
  <c r="H11" i="74"/>
  <c r="H12" i="74"/>
  <c r="H13" i="74"/>
  <c r="H14" i="74"/>
  <c r="H15" i="74"/>
  <c r="H16" i="74"/>
  <c r="H17" i="74"/>
  <c r="H18" i="74"/>
  <c r="H19" i="74"/>
  <c r="H20" i="74"/>
  <c r="H21" i="74"/>
  <c r="H8" i="74"/>
  <c r="C11" i="73" l="1"/>
  <c r="C10" i="73"/>
  <c r="E35" i="72" l="1"/>
  <c r="E34" i="72"/>
  <c r="E30" i="72"/>
  <c r="E26" i="72"/>
  <c r="E22" i="72"/>
  <c r="E21" i="72"/>
  <c r="E15" i="72" l="1"/>
  <c r="E14" i="72"/>
  <c r="E13" i="72"/>
  <c r="E12" i="72"/>
  <c r="E11" i="72"/>
  <c r="E10" i="72"/>
  <c r="E9" i="72"/>
  <c r="E8" i="72"/>
  <c r="G38" i="94" l="1"/>
  <c r="F38" i="94"/>
  <c r="G30" i="94"/>
  <c r="F30" i="94"/>
  <c r="G17" i="94"/>
  <c r="F17" i="94"/>
  <c r="G14" i="94"/>
  <c r="F14" i="94"/>
  <c r="G11" i="94"/>
  <c r="F11" i="94"/>
  <c r="G8" i="94"/>
  <c r="F8" i="94"/>
  <c r="G37" i="93"/>
  <c r="F37" i="93"/>
  <c r="G34" i="93"/>
  <c r="F34" i="93"/>
  <c r="G29" i="93"/>
  <c r="F29" i="93"/>
  <c r="G13" i="93"/>
  <c r="F13" i="93"/>
  <c r="G6" i="93"/>
  <c r="G43" i="93" s="1"/>
  <c r="G45" i="93" s="1"/>
  <c r="F6" i="93"/>
  <c r="F43" i="93" s="1"/>
  <c r="F45" i="93" s="1"/>
  <c r="G63" i="92" l="1"/>
  <c r="F63" i="92"/>
  <c r="G59" i="92"/>
  <c r="G68" i="92" s="1"/>
  <c r="F59" i="92"/>
  <c r="F68" i="92" s="1"/>
  <c r="G47" i="92"/>
  <c r="F47" i="92"/>
  <c r="G41" i="92"/>
  <c r="G53" i="92" s="1"/>
  <c r="F41" i="92"/>
  <c r="F53" i="92" s="1"/>
  <c r="G30" i="92"/>
  <c r="F30" i="92"/>
  <c r="G27" i="92"/>
  <c r="F27" i="92"/>
  <c r="G24" i="92"/>
  <c r="F24" i="92"/>
  <c r="G19" i="92"/>
  <c r="F19" i="92"/>
  <c r="G15" i="92"/>
  <c r="F15" i="92"/>
  <c r="G7" i="92"/>
  <c r="F7" i="92"/>
  <c r="C7" i="92"/>
  <c r="D7" i="92"/>
  <c r="C15" i="92"/>
  <c r="D15" i="92"/>
  <c r="C19" i="92"/>
  <c r="D19" i="92"/>
  <c r="C24" i="92"/>
  <c r="D24" i="92"/>
  <c r="C27" i="92"/>
  <c r="D27" i="92"/>
  <c r="C30" i="92"/>
  <c r="D30" i="92"/>
  <c r="F69" i="92" l="1"/>
  <c r="G69" i="92"/>
  <c r="B1" i="94"/>
  <c r="B1" i="93"/>
  <c r="B1" i="92"/>
  <c r="B1" i="104" l="1"/>
  <c r="B1" i="103"/>
  <c r="B1" i="102"/>
  <c r="B1" i="101"/>
  <c r="B1" i="100"/>
  <c r="B1" i="99"/>
  <c r="B1" i="98"/>
  <c r="B1" i="97"/>
  <c r="B1" i="96"/>
  <c r="B1" i="95"/>
  <c r="C10" i="99" l="1"/>
  <c r="C18" i="99" s="1"/>
  <c r="C7" i="98"/>
  <c r="D7" i="98"/>
  <c r="C10" i="98"/>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D15" i="98" l="1"/>
  <c r="C15" i="98"/>
  <c r="H34" i="97"/>
  <c r="H21" i="96"/>
  <c r="H22" i="95"/>
  <c r="C62" i="69"/>
  <c r="C58" i="69"/>
  <c r="C67" i="69" s="1"/>
  <c r="C46" i="69"/>
  <c r="C52" i="69" s="1"/>
  <c r="C40" i="69"/>
  <c r="C35" i="69"/>
  <c r="C29" i="69"/>
  <c r="C26" i="69"/>
  <c r="C23" i="69"/>
  <c r="C18" i="69"/>
  <c r="C14" i="69"/>
  <c r="C6" i="69"/>
  <c r="D8" i="72"/>
  <c r="D16" i="72"/>
  <c r="E16" i="72"/>
  <c r="E37" i="72" s="1"/>
  <c r="D20" i="72"/>
  <c r="E20" i="72"/>
  <c r="D25" i="72"/>
  <c r="E25" i="72"/>
  <c r="D28" i="72"/>
  <c r="E28" i="72"/>
  <c r="D31" i="72"/>
  <c r="E31" i="72"/>
  <c r="C31" i="72"/>
  <c r="C28" i="72"/>
  <c r="C25" i="72"/>
  <c r="C20" i="72"/>
  <c r="C16" i="72"/>
  <c r="C8" i="72"/>
  <c r="D37" i="72" l="1"/>
  <c r="C37" i="72"/>
  <c r="C68" i="69"/>
  <c r="H43" i="94"/>
  <c r="E43" i="94"/>
  <c r="H42" i="94"/>
  <c r="E42" i="94"/>
  <c r="H41" i="94"/>
  <c r="E41" i="94"/>
  <c r="H40" i="94"/>
  <c r="E40" i="94"/>
  <c r="H39" i="94"/>
  <c r="E39" i="94"/>
  <c r="D38" i="94"/>
  <c r="C38" i="94"/>
  <c r="H37" i="94"/>
  <c r="E37" i="94"/>
  <c r="H36" i="94"/>
  <c r="E36" i="94"/>
  <c r="H35" i="94"/>
  <c r="E35" i="94"/>
  <c r="H34" i="94"/>
  <c r="E34" i="94"/>
  <c r="H33" i="94"/>
  <c r="E33" i="94"/>
  <c r="H32" i="94"/>
  <c r="E32" i="94"/>
  <c r="H31" i="94"/>
  <c r="E31" i="94"/>
  <c r="H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H13" i="94"/>
  <c r="E13" i="94"/>
  <c r="H12" i="94"/>
  <c r="E12" i="94"/>
  <c r="D11" i="94"/>
  <c r="C11" i="94"/>
  <c r="H10" i="94"/>
  <c r="E10" i="94"/>
  <c r="H9" i="94"/>
  <c r="E9" i="94"/>
  <c r="D8" i="94"/>
  <c r="C8" i="94"/>
  <c r="H7" i="94"/>
  <c r="E7" i="94"/>
  <c r="H6" i="94"/>
  <c r="E6" i="94"/>
  <c r="H44" i="93"/>
  <c r="E44" i="93"/>
  <c r="H42" i="93"/>
  <c r="E42" i="93"/>
  <c r="H41" i="93"/>
  <c r="E41" i="93"/>
  <c r="H40" i="93"/>
  <c r="E40" i="93"/>
  <c r="H39" i="93"/>
  <c r="E39" i="93"/>
  <c r="H38" i="93"/>
  <c r="E38" i="93"/>
  <c r="D37" i="93"/>
  <c r="C37" i="93"/>
  <c r="H36" i="93"/>
  <c r="E36" i="93"/>
  <c r="H35" i="93"/>
  <c r="E35" i="93"/>
  <c r="D34" i="93"/>
  <c r="C34" i="93"/>
  <c r="H33" i="93"/>
  <c r="E33" i="93"/>
  <c r="H32" i="93"/>
  <c r="E32" i="93"/>
  <c r="H31" i="93"/>
  <c r="E31" i="93"/>
  <c r="H30" i="93"/>
  <c r="E30"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D13" i="93"/>
  <c r="C13" i="93"/>
  <c r="H12" i="93"/>
  <c r="E12" i="93"/>
  <c r="H11" i="93"/>
  <c r="E11" i="93"/>
  <c r="H10" i="93"/>
  <c r="E10" i="93"/>
  <c r="H9" i="93"/>
  <c r="E9" i="93"/>
  <c r="H8" i="93"/>
  <c r="E8" i="93"/>
  <c r="H7" i="93"/>
  <c r="E7" i="93"/>
  <c r="D6" i="93"/>
  <c r="C6" i="93"/>
  <c r="C43" i="93" s="1"/>
  <c r="C45" i="93" s="1"/>
  <c r="H67" i="92"/>
  <c r="E67" i="92"/>
  <c r="H66" i="92"/>
  <c r="E66" i="92"/>
  <c r="H65" i="92"/>
  <c r="E65" i="92"/>
  <c r="H64" i="92"/>
  <c r="E64" i="92"/>
  <c r="H63" i="92"/>
  <c r="D63" i="92"/>
  <c r="C63" i="92"/>
  <c r="H62" i="92"/>
  <c r="E62" i="92"/>
  <c r="H61" i="92"/>
  <c r="E61" i="92"/>
  <c r="H60" i="92"/>
  <c r="E60" i="92"/>
  <c r="H59" i="92"/>
  <c r="E59" i="92"/>
  <c r="D59" i="92"/>
  <c r="C59" i="92"/>
  <c r="H58" i="92"/>
  <c r="E58" i="92"/>
  <c r="H57" i="92"/>
  <c r="E57" i="92"/>
  <c r="H56" i="92"/>
  <c r="E56" i="92"/>
  <c r="H55" i="92"/>
  <c r="E55" i="92"/>
  <c r="H52" i="92"/>
  <c r="E52" i="92"/>
  <c r="H51" i="92"/>
  <c r="E51" i="92"/>
  <c r="H50" i="92"/>
  <c r="E50" i="92"/>
  <c r="H49" i="92"/>
  <c r="E49" i="92"/>
  <c r="H48" i="92"/>
  <c r="E48" i="92"/>
  <c r="H47" i="92"/>
  <c r="D47" i="92"/>
  <c r="C47" i="92"/>
  <c r="H46" i="92"/>
  <c r="E46" i="92"/>
  <c r="H45" i="92"/>
  <c r="E45" i="92"/>
  <c r="H44" i="92"/>
  <c r="E44" i="92"/>
  <c r="H43" i="92"/>
  <c r="E43" i="92"/>
  <c r="H42" i="92"/>
  <c r="E42" i="92"/>
  <c r="H41" i="92"/>
  <c r="D41" i="92"/>
  <c r="D53" i="92" s="1"/>
  <c r="C41" i="92"/>
  <c r="H40" i="92"/>
  <c r="E40" i="92"/>
  <c r="H39" i="92"/>
  <c r="E39" i="92"/>
  <c r="H38" i="92"/>
  <c r="E38" i="92"/>
  <c r="H35" i="92"/>
  <c r="E35" i="92"/>
  <c r="H34" i="92"/>
  <c r="E34" i="92"/>
  <c r="H33" i="92"/>
  <c r="E33" i="92"/>
  <c r="H32" i="92"/>
  <c r="E32" i="92"/>
  <c r="H31" i="92"/>
  <c r="E31" i="92"/>
  <c r="H30" i="92"/>
  <c r="E30" i="92"/>
  <c r="H29" i="92"/>
  <c r="E29" i="92"/>
  <c r="H28" i="92"/>
  <c r="E28" i="92"/>
  <c r="H27" i="92"/>
  <c r="E27" i="92"/>
  <c r="H26" i="92"/>
  <c r="E26" i="92"/>
  <c r="H25" i="92"/>
  <c r="E25" i="92"/>
  <c r="E24" i="92"/>
  <c r="H23" i="92"/>
  <c r="E23" i="92"/>
  <c r="H22" i="92"/>
  <c r="E22" i="92"/>
  <c r="H21" i="92"/>
  <c r="E21" i="92"/>
  <c r="H20" i="92"/>
  <c r="E20" i="92"/>
  <c r="H19" i="92"/>
  <c r="E19" i="92"/>
  <c r="H18" i="92"/>
  <c r="E18" i="92"/>
  <c r="H17" i="92"/>
  <c r="E17" i="92"/>
  <c r="H16" i="92"/>
  <c r="E16" i="92"/>
  <c r="H15" i="92"/>
  <c r="E15" i="92"/>
  <c r="H14" i="92"/>
  <c r="E14" i="92"/>
  <c r="H13" i="92"/>
  <c r="E13" i="92"/>
  <c r="H12" i="92"/>
  <c r="E12" i="92"/>
  <c r="H11" i="92"/>
  <c r="E11" i="92"/>
  <c r="H10" i="92"/>
  <c r="E10" i="92"/>
  <c r="H9" i="92"/>
  <c r="E9" i="92"/>
  <c r="H8" i="92"/>
  <c r="E8" i="92"/>
  <c r="H7" i="92"/>
  <c r="E63" i="92" l="1"/>
  <c r="E47" i="92"/>
  <c r="E34" i="93"/>
  <c r="E29" i="93"/>
  <c r="E37" i="93"/>
  <c r="E13" i="93"/>
  <c r="E41" i="92"/>
  <c r="C68" i="92"/>
  <c r="E6" i="93"/>
  <c r="F36" i="92"/>
  <c r="D68" i="92"/>
  <c r="D69" i="92" s="1"/>
  <c r="H45" i="93"/>
  <c r="H37" i="93"/>
  <c r="E38" i="94"/>
  <c r="C36" i="92"/>
  <c r="G36" i="92"/>
  <c r="D36" i="92"/>
  <c r="H29" i="93"/>
  <c r="H34" i="93"/>
  <c r="H8" i="94"/>
  <c r="E8" i="94"/>
  <c r="E14" i="94"/>
  <c r="H38" i="94"/>
  <c r="E30" i="94"/>
  <c r="E11" i="94"/>
  <c r="E17" i="94"/>
  <c r="H11" i="94"/>
  <c r="H14" i="94"/>
  <c r="H43" i="93"/>
  <c r="H6" i="93"/>
  <c r="D43" i="93"/>
  <c r="D45" i="93" s="1"/>
  <c r="H69" i="92"/>
  <c r="C53" i="92"/>
  <c r="H68" i="92"/>
  <c r="H53" i="92"/>
  <c r="E7" i="92"/>
  <c r="H24" i="92"/>
  <c r="E36" i="92" l="1"/>
  <c r="H36" i="92"/>
  <c r="E68" i="92"/>
  <c r="E45" i="93"/>
  <c r="E43" i="93"/>
  <c r="C69" i="92"/>
  <c r="E69" i="92" s="1"/>
  <c r="C6" i="79" s="1"/>
  <c r="E53" i="92"/>
  <c r="B1" i="80" l="1"/>
  <c r="G33" i="80"/>
  <c r="F33" i="80"/>
  <c r="E33" i="80"/>
  <c r="D33" i="80"/>
  <c r="C33" i="80"/>
  <c r="G37"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I21" i="37" s="1"/>
  <c r="H7" i="37"/>
  <c r="H21" i="37" s="1"/>
  <c r="G7" i="37"/>
  <c r="G21" i="37" s="1"/>
  <c r="F7" i="37"/>
  <c r="F21" i="37" s="1"/>
  <c r="C7" i="37"/>
  <c r="J21" i="37" l="1"/>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<sst xmlns="http://schemas.openxmlformats.org/spreadsheetml/2006/main" count="1598" uniqueCount="999">
  <si>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</si>
  <si>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</si>
  <si>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</si>
  <si>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</si>
  <si>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</si>
  <si>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</si>
  <si>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</si>
  <si>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</si>
  <si>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</si>
  <si>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</si>
  <si>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</si>
  <si>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</si>
  <si>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</si>
  <si>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</si>
  <si>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</si>
  <si>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</si>
  <si>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</si>
  <si>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</si>
  <si>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</si>
  <si>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</si>
  <si>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</si>
  <si>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</si>
  <si>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</si>
  <si>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</si>
  <si>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</si>
  <si>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</si>
  <si>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</si>
  <si>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</si>
  <si>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</si>
  <si>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</si>
  <si>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</si>
  <si>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</si>
  <si>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</si>
  <si>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</si>
  <si>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</si>
  <si>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</si>
  <si>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</si>
  <si>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</si>
  <si>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</si>
  <si>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</si>
  <si>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</si>
  <si>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</si>
  <si>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</si>
  <si>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</si>
  <si>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</si>
  <si>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</si>
  <si>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</si>
  <si>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</si>
  <si>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</si>
  <si>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</si>
  <si>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</si>
  <si>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</si>
  <si>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</si>
  <si>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</si>
  <si>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</si>
  <si>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</si>
  <si>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</si>
  <si>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</si>
  <si>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</si>
  <si>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</si>
  <si>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</si>
  <si>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</si>
  <si>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</si>
  <si>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</si>
  <si>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</si>
  <si>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</si>
  <si>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</si>
  <si>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</si>
  <si>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</si>
  <si>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</si>
  <si>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</si>
  <si>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</si>
  <si>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</si>
  <si>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</si>
  <si>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</si>
  <si>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</si>
  <si>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</si>
  <si>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</si>
  <si>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</si>
  <si>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</si>
  <si>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</si>
  <si>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</si>
  <si>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</si>
  <si>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</si>
  <si>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</si>
  <si>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</si>
  <si>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</si>
  <si>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</si>
  <si>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</si>
  <si>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</si>
  <si>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</si>
  <si>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</si>
  <si>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</si>
  <si>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</si>
  <si>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</si>
  <si>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</si>
  <si>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</si>
  <si>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</si>
  <si>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</si>
  <si>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</si>
  <si>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</si>
  <si>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</si>
  <si>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</si>
  <si>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</si>
  <si>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</si>
  <si>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</si>
  <si>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</si>
  <si>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</si>
  <si>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</si>
  <si>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</si>
  <si>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</si>
  <si>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</si>
  <si>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</si>
  <si>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</si>
  <si>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</si>
  <si>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</si>
  <si>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</si>
  <si>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</si>
  <si>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</si>
  <si>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</si>
  <si>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</si>
  <si>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</si>
  <si>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</si>
  <si>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</si>
  <si>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</si>
  <si>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</si>
  <si>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</si>
  <si>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</si>
  <si>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</si>
  <si>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</si>
  <si>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</si>
  <si>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</si>
  <si>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</si>
  <si>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</si>
  <si>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</si>
  <si>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</si>
  <si>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</si>
  <si>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</si>
  <si>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</si>
  <si>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</si>
  <si>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</si>
  <si>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</si>
  <si>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</si>
  <si>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</si>
  <si>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</si>
  <si>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</si>
  <si>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</si>
  <si>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</si>
  <si>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</si>
  <si>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</si>
  <si>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</si>
  <si>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</si>
  <si>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</si>
  <si>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</si>
  <si>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</si>
  <si>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</si>
  <si>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</si>
  <si>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</si>
  <si>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</si>
  <si>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</si>
  <si>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</si>
  <si>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</si>
  <si>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</si>
  <si>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</si>
  <si>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</si>
  <si>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</si>
  <si>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</si>
  <si>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</si>
  <si>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</si>
  <si>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</si>
  <si>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</si>
  <si>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</si>
  <si>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</si>
  <si>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</si>
  <si>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</si>
  <si>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</si>
  <si>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</si>
  <si>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</si>
  <si>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</si>
  <si>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</si>
  <si>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</si>
  <si>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</si>
  <si>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</si>
  <si>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</si>
  <si>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</si>
  <si>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</si>
  <si>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</si>
  <si>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</si>
  <si>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</si>
  <si>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</si>
  <si>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</si>
  <si>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</si>
  <si>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</si>
  <si>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</si>
  <si>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</si>
  <si>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</si>
  <si>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</si>
  <si>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</si>
  <si>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</si>
  <si>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</si>
  <si>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</si>
  <si>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</si>
  <si>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</si>
  <si>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</si>
  <si>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</si>
  <si>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</si>
  <si>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</si>
  <si>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</si>
  <si>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</si>
  <si>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</si>
  <si>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</si>
  <si>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</si>
  <si>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</si>
  <si>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</si>
  <si>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</si>
  <si>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</si>
  <si>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</si>
  <si>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</si>
  <si>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</si>
  <si>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</si>
  <si>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</si>
  <si>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</si>
  <si>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</si>
  <si>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</si>
  <si>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</si>
  <si>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</si>
  <si>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</si>
  <si>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</si>
  <si>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</si>
  <si>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</si>
  <si>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</si>
  <si>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</si>
  <si>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</si>
  <si>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</si>
  <si>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</si>
  <si>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</si>
  <si>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</si>
  <si>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</si>
  <si>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</si>
  <si>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</si>
  <si>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</si>
  <si>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</si>
  <si>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</si>
  <si>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</si>
  <si>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</si>
  <si>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</si>
  <si>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</si>
  <si>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</si>
  <si>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</si>
  <si>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</si>
  <si>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</si>
  <si>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</si>
  <si>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</si>
  <si>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</si>
  <si>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</si>
  <si>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</si>
  <si>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</si>
  <si>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</si>
  <si>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</si>
  <si>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</si>
  <si>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</si>
  <si>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</si>
  <si>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</si>
  <si>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</si>
  <si>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</si>
  <si>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</si>
  <si>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</si>
  <si>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</si>
  <si>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</si>
  <si>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</si>
  <si>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</si>
  <si>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</si>
  <si>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</si>
  <si>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</si>
  <si>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</si>
  <si>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</si>
  <si>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</si>
  <si>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</si>
  <si>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</si>
  <si>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</si>
  <si>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</si>
  <si>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</si>
  <si>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</si>
  <si>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</si>
  <si>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</si>
  <si>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</si>
  <si>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</si>
  <si>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</si>
  <si>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</si>
  <si>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</si>
  <si>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</si>
  <si>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</si>
  <si>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</si>
  <si>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</si>
  <si>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</si>
  <si>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</si>
  <si>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</si>
  <si>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</si>
  <si>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</si>
  <si>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</si>
  <si>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</si>
  <si>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</si>
  <si>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</si>
  <si>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</si>
  <si>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</si>
  <si>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</si>
  <si>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</si>
  <si>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</si>
  <si>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</si>
  <si>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</si>
  <si>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</si>
  <si>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</si>
  <si>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</si>
  <si>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</si>
  <si>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</si>
  <si>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</si>
  <si>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</si>
  <si>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</si>
  <si>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</si>
  <si>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</si>
  <si>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</si>
  <si>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</si>
  <si>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</si>
  <si>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</si>
  <si>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</si>
  <si>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</si>
  <si>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</si>
  <si>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</si>
  <si>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</si>
  <si>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</si>
  <si>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</si>
  <si>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</si>
  <si>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</si>
  <si>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</si>
  <si>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</si>
  <si>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</si>
  <si>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</si>
  <si>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</si>
  <si>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</si>
  <si>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</si>
  <si>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</si>
  <si>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</si>
  <si>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</si>
  <si>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</si>
  <si>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</si>
  <si>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</si>
  <si>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</si>
  <si>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</si>
  <si>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</si>
  <si>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</si>
  <si>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</si>
  <si>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</si>
  <si>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</si>
  <si>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</si>
  <si>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</si>
  <si>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</si>
  <si>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</si>
  <si>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</si>
  <si>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</si>
  <si>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</si>
  <si>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</si>
  <si>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</si>
  <si>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</si>
  <si>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</si>
  <si>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</si>
  <si>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</si>
  <si>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</si>
  <si>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</si>
  <si>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</si>
  <si>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</si>
  <si>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</si>
  <si>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</si>
  <si>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</si>
  <si>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</si>
  <si>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</si>
  <si>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</si>
  <si>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</si>
  <si>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</si>
  <si>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</si>
  <si>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</si>
  <si>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</si>
  <si>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</si>
  <si>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</si>
  <si>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</si>
  <si>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</si>
  <si>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</si>
  <si>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</si>
  <si>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</si>
  <si>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</si>
  <si>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</si>
  <si>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</si>
  <si>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</si>
  <si>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</si>
  <si>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</si>
  <si>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</si>
  <si>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</si>
  <si>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</si>
  <si>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</si>
  <si>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</si>
  <si>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</si>
  <si>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</si>
  <si>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</si>
  <si>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</si>
  <si>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</si>
  <si>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</si>
  <si>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</si>
  <si>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</si>
  <si>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</si>
  <si>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</si>
  <si>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</si>
  <si>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</si>
  <si>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</si>
  <si>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</si>
  <si>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</si>
  <si>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</si>
  <si>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</si>
  <si>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</si>
  <si>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</si>
  <si>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</si>
  <si>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</si>
  <si>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</si>
  <si>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</si>
  <si>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</si>
  <si>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</si>
  <si>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</si>
  <si>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</si>
  <si>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</si>
  <si>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</si>
  <si>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</si>
  <si>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</si>
  <si>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</si>
  <si>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</si>
  <si>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</si>
  <si>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</si>
  <si>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</si>
  <si>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</si>
  <si>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</si>
  <si>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</si>
  <si>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</si>
  <si>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</si>
  <si>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</si>
  <si>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</si>
  <si>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</si>
  <si>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</si>
  <si>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</si>
  <si>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</si>
  <si>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</si>
  <si>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</si>
  <si>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</si>
  <si>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</si>
  <si>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</si>
  <si>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</si>
  <si>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</si>
  <si>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</si>
  <si>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</si>
  <si>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</si>
  <si>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</si>
  <si>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</si>
  <si>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</si>
  <si>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</si>
  <si>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</si>
  <si>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</si>
  <si>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</si>
  <si>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</si>
  <si>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</si>
  <si>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</si>
  <si>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</si>
  <si>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</si>
  <si>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</si>
  <si>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</si>
  <si>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</si>
  <si>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</si>
  <si>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</si>
  <si>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</si>
  <si>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</si>
  <si>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</si>
  <si>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</si>
  <si>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</si>
  <si>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</si>
  <si>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</si>
  <si>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</si>
  <si>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</si>
  <si>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</si>
  <si>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</si>
  <si>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</si>
  <si>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</si>
  <si>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</si>
  <si>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</si>
  <si>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</si>
  <si>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</si>
  <si>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</si>
  <si>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</si>
  <si>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</si>
  <si>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</si>
  <si>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</si>
  <si>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</si>
  <si>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</si>
  <si>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</si>
  <si>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</si>
  <si>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</si>
  <si>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</si>
  <si>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</si>
  <si>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</si>
  <si>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</si>
  <si>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</si>
  <si>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</si>
  <si>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</si>
  <si>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</si>
  <si>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</si>
  <si>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</si>
  <si>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</si>
  <si>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</si>
  <si>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</si>
  <si>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</si>
  <si>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</si>
  <si>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</si>
  <si>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</si>
  <si>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</si>
  <si>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</si>
  <si>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</si>
  <si>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</si>
  <si>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</si>
  <si>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</si>
  <si>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</si>
  <si>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</si>
  <si>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</si>
  <si>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</si>
  <si>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</si>
  <si>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</si>
  <si>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</si>
  <si>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</si>
  <si>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</si>
  <si>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</si>
  <si>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</si>
  <si>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</si>
  <si>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</si>
  <si>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</si>
  <si>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</si>
  <si>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</si>
  <si>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</si>
  <si>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</si>
  <si>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</si>
  <si>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</si>
  <si>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</si>
  <si>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</si>
  <si>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</si>
  <si>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</si>
  <si>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</si>
  <si>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</si>
  <si>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</si>
  <si>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</si>
  <si>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</si>
  <si>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</si>
  <si>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</si>
  <si>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</si>
  <si>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</si>
  <si>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</si>
  <si>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</si>
  <si>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</si>
  <si>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</si>
  <si>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</si>
  <si>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</si>
  <si>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</si>
  <si>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</si>
  <si>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</si>
  <si>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</si>
  <si>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</si>
  <si>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</si>
  <si>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</si>
  <si>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</si>
  <si>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</si>
  <si>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</si>
  <si>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</si>
  <si>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</si>
  <si>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</si>
  <si>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</si>
  <si>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</si>
  <si>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</si>
  <si>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</si>
  <si>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</si>
  <si>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</si>
  <si>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</si>
  <si>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</si>
  <si>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</si>
  <si>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</si>
  <si>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</si>
  <si>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</si>
  <si>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</si>
  <si>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</si>
  <si>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</si>
  <si>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</si>
  <si>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</si>
  <si>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</si>
  <si>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</si>
  <si>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</si>
  <si>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</si>
  <si>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</si>
  <si>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</si>
  <si>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</si>
  <si>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</si>
  <si>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</si>
  <si>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</si>
  <si>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</si>
  <si>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</si>
  <si>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</si>
  <si>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</si>
  <si>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</si>
  <si>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</si>
  <si>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</si>
  <si>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</si>
  <si>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</si>
  <si>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</si>
  <si>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</si>
  <si>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</si>
  <si>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</si>
  <si>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</si>
  <si>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</si>
  <si>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</si>
  <si>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</si>
  <si>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</si>
  <si>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</si>
  <si>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</si>
  <si>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</si>
  <si>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</si>
  <si>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</si>
  <si>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</si>
  <si>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</si>
  <si>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</si>
  <si>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</si>
  <si>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</si>
  <si>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</si>
  <si>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</si>
  <si>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</si>
  <si>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</si>
  <si>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</si>
  <si>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</si>
  <si>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</si>
  <si>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</si>
  <si>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</si>
  <si>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</si>
  <si>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</si>
  <si>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</si>
  <si>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</si>
  <si>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</si>
  <si>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</si>
  <si>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</si>
  <si>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</si>
  <si>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</si>
  <si>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</si>
  <si>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</si>
  <si>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</si>
  <si>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</si>
  <si>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</si>
  <si>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</si>
  <si>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</si>
  <si>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</si>
  <si>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</si>
  <si>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</si>
  <si>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</si>
  <si>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</si>
  <si>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</si>
  <si>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</si>
  <si>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</si>
  <si>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</si>
  <si>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</si>
  <si>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</si>
  <si>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</si>
  <si>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</si>
  <si>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</si>
  <si>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</si>
  <si>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</si>
  <si>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</si>
  <si>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</si>
  <si>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</si>
  <si>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</si>
  <si>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</si>
  <si>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</si>
  <si>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</si>
  <si>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</si>
  <si>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</si>
  <si>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</si>
  <si>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</si>
  <si>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</si>
  <si>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</si>
  <si>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</si>
  <si>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</si>
  <si>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</si>
  <si>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</si>
  <si>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</si>
  <si>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</si>
  <si>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</si>
  <si>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</si>
  <si>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</si>
  <si>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</si>
  <si>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</si>
  <si>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</si>
  <si>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</si>
  <si>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</si>
  <si>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</si>
  <si>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</si>
  <si>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</si>
  <si>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</si>
  <si>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</si>
  <si>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</si>
  <si>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</si>
  <si>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</si>
  <si>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</si>
  <si>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</si>
  <si>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</si>
  <si>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</si>
  <si>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</si>
  <si>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</si>
  <si>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</si>
  <si>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</si>
  <si>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</si>
  <si>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</si>
  <si>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</si>
  <si>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</si>
  <si>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</si>
  <si>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</si>
  <si>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</si>
  <si>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</si>
  <si>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</si>
  <si>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</si>
  <si>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</si>
  <si>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</si>
  <si>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</si>
  <si>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</si>
  <si>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</si>
  <si>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</si>
  <si>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</si>
  <si>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</si>
  <si>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</si>
  <si>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</si>
  <si>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</si>
  <si>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</si>
  <si>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</si>
  <si>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</si>
  <si>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</si>
  <si>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</si>
  <si>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</si>
  <si>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</si>
  <si>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</si>
  <si>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</si>
  <si>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</si>
  <si>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</si>
  <si>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</si>
  <si>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</si>
  <si>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</si>
  <si>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</si>
  <si>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</si>
  <si>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</si>
  <si>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</si>
  <si>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</si>
  <si>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</si>
  <si>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</si>
  <si>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</si>
  <si>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</si>
  <si>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</si>
  <si>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</si>
  <si>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</si>
  <si>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</si>
  <si>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</si>
  <si>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</si>
  <si>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</si>
  <si>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</si>
  <si>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</si>
  <si>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</si>
  <si>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</si>
  <si>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</si>
  <si>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</si>
  <si>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</si>
  <si>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</si>
  <si>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</si>
  <si>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</si>
  <si>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</si>
  <si>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</si>
  <si>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</si>
  <si>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</si>
  <si>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</si>
  <si>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</si>
  <si>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</si>
  <si>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</si>
  <si>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</si>
  <si>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</si>
  <si>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</si>
  <si>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</si>
  <si>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</si>
  <si>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</si>
  <si>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</si>
  <si>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</si>
  <si>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</si>
  <si>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</si>
  <si>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</si>
  <si>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</si>
  <si>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</si>
  <si>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</si>
  <si>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</si>
  <si>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</si>
  <si>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</si>
  <si>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</si>
  <si>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</si>
  <si>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</si>
  <si>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</si>
  <si>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</si>
  <si>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</si>
  <si>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</si>
  <si>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</si>
  <si>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</si>
  <si>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</si>
  <si>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</si>
  <si>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</si>
  <si>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</si>
  <si>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</si>
  <si>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</si>
  <si>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</si>
  <si>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</si>
  <si>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</si>
  <si>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</si>
  <si>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</si>
  <si>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</si>
  <si>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</si>
  <si>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</si>
  <si>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</si>
  <si>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</si>
  <si>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</si>
  <si>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</si>
  <si>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</si>
  <si>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</si>
  <si>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</si>
  <si>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</si>
  <si>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</si>
  <si>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</si>
  <si>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</si>
  <si>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</si>
  <si>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</si>
  <si>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</si>
  <si>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</si>
  <si>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</si>
  <si>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</si>
  <si>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</si>
  <si>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</si>
  <si>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</si>
  <si>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</si>
  <si>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</si>
  <si>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</si>
  <si>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</si>
  <si>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</si>
  <si>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</si>
  <si>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</si>
  <si>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</si>
  <si>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</si>
  <si>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</si>
  <si>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</si>
  <si>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</si>
  <si>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</si>
  <si>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</si>
  <si>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</si>
  <si>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</si>
  <si>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</si>
  <si>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</si>
  <si>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</si>
  <si>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</si>
  <si>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</si>
  <si>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</si>
  <si>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</si>
  <si>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</si>
  <si>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</si>
  <si>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</si>
  <si>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</si>
  <si>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</si>
  <si>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</si>
  <si>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</si>
  <si>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</si>
  <si>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</si>
  <si>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</si>
  <si>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</si>
  <si>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</si>
  <si>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</si>
  <si>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</si>
  <si>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</si>
  <si>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</si>
  <si>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</si>
  <si>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</si>
  <si>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</si>
  <si>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</si>
  <si>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</si>
  <si>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</si>
  <si>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</si>
  <si>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</si>
  <si>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</si>
  <si>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</si>
  <si>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</si>
  <si>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</si>
  <si>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</si>
  <si>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</si>
  <si>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</si>
  <si>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</si>
  <si>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</si>
  <si>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</si>
  <si>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</si>
  <si>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</si>
  <si>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</si>
  <si>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</si>
  <si>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</si>
  <si>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</si>
  <si>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</si>
  <si>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</si>
  <si>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</si>
  <si>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</si>
  <si>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</si>
  <si>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</si>
  <si>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</si>
  <si>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</si>
  <si>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</si>
  <si>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</si>
  <si>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</si>
  <si>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</si>
  <si>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</si>
  <si>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</si>
  <si>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</si>
  <si>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</si>
  <si>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</si>
  <si>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</si>
  <si>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</si>
  <si>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</si>
  <si>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</si>
  <si>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</si>
  <si>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</si>
  <si>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</si>
  <si>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</si>
  <si>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</si>
  <si>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</si>
  <si>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</si>
  <si>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</si>
  <si>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</si>
  <si>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</si>
  <si>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</si>
  <si>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</si>
  <si>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</si>
  <si>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</si>
  <si>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</si>
  <si>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</si>
  <si>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</si>
  <si>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</si>
  <si>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</si>
  <si>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</si>
  <si>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</si>
  <si>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</si>
  <si>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</si>
  <si>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</si>
  <si>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</si>
  <si>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</si>
  <si>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</si>
  <si>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</si>
  <si>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</si>
  <si>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</si>
  <si>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</si>
  <si>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</si>
  <si>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</si>
  <si>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თომას ენგელჰარდტი</t>
  </si>
  <si>
    <t>ზაალ ფირცხელავა</t>
  </si>
  <si>
    <t>www.credo.ge</t>
  </si>
  <si>
    <t>სს "კრედო ბანკი"</t>
  </si>
  <si>
    <t>Thomas Engelhardt (Germany)</t>
  </si>
  <si>
    <t>არადამოუკიდებელ წევრი-თავმჯდომარე</t>
  </si>
  <si>
    <t>Farah, Katia Chams (Netherlands)</t>
  </si>
  <si>
    <t>არადამოუკიდებელ წევრი</t>
  </si>
  <si>
    <t>Paul-Catalin Panciu (Romania)</t>
  </si>
  <si>
    <t>Johannes Mainhardt (Germany)</t>
  </si>
  <si>
    <t>Andrew Pospielovsky (Great Britain)</t>
  </si>
  <si>
    <t>დამოუკიდებელი წევრი</t>
  </si>
  <si>
    <t>Olga Tomash (Ukraine)</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</si>
  <si>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</si>
  <si>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</si>
  <si>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</si>
  <si>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</si>
  <si>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</si>
  <si>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</si>
  <si>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</si>
  <si>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</si>
  <si>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</si>
  <si>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</si>
  <si>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</si>
  <si>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</si>
  <si>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</si>
  <si>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</si>
  <si>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</si>
  <si>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</si>
  <si>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</si>
  <si>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</si>
  <si>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</si>
  <si>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</si>
  <si>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</si>
  <si>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</si>
  <si>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</si>
  <si>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</si>
  <si>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 xml:space="preserve">responsAbility Management Company S.A., responsAbility Global Microfinance Fund (Luxembourg) </t>
  </si>
  <si>
    <t xml:space="preserve">responsAbility SICAV (Lux) -  responsAbility SICAV (Lux) Microfinance Leaders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</si>
</sst>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35">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0" fillId="0" borderId="98" xfId="0" applyBorder="1"/>
    <xf numFmtId="0" fontId="0" fillId="36" borderId="98" xfId="0" applyFill="1" applyBorder="1"/>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0" fillId="0" borderId="138" xfId="0" applyBorder="1"/>
    <xf numFmtId="0" fontId="0" fillId="36" borderId="138" xfId="0" applyFill="1" applyBorder="1"/>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20" fillId="0" borderId="146" xfId="0" applyFont="1" applyBorder="1"/>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7" fillId="0" borderId="146" xfId="0" applyFont="1" applyBorder="1"/>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93" fontId="17" fillId="2" borderId="156" xfId="0" applyNumberFormat="1" applyFont="1" applyFill="1" applyBorder="1" applyAlignment="1" applyProtection="1">
      <alignment vertical="center"/>
      <protection locked="0"/>
    </xf>
    <xf numFmtId="193" fontId="17" fillId="2" borderId="146" xfId="0" applyNumberFormat="1" applyFont="1" applyFill="1" applyBorder="1" applyAlignment="1" applyProtection="1">
      <alignment vertical="center"/>
      <protection locked="0"/>
    </xf>
    <xf numFmtId="193" fontId="9" fillId="2" borderId="15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193" fontId="17" fillId="2" borderId="154" xfId="0" applyNumberFormat="1" applyFont="1" applyFill="1" applyBorder="1" applyAlignment="1" applyProtection="1">
      <alignment vertical="center"/>
      <protection locked="0"/>
    </xf>
    <xf numFmtId="193" fontId="17" fillId="2" borderId="153"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6"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2" fillId="0" borderId="146" xfId="0" applyFont="1" applyBorder="1"/>
    <xf numFmtId="0" fontId="11" fillId="0" borderId="146" xfId="17" applyBorder="1" applyAlignment="1" applyProtection="1"/>
    <xf numFmtId="164" fontId="0" fillId="0" borderId="146" xfId="7" applyNumberFormat="1" applyFont="1" applyBorder="1"/>
    <xf numFmtId="164" fontId="0" fillId="0" borderId="146" xfId="7" applyNumberFormat="1" applyFont="1" applyBorder="1" applyAlignment="1">
      <alignment vertical="center"/>
    </xf>
    <xf numFmtId="164" fontId="0" fillId="0" borderId="98" xfId="7" applyNumberFormat="1" applyFont="1" applyBorder="1"/>
    <xf numFmtId="164" fontId="0" fillId="36" borderId="98" xfId="7" applyNumberFormat="1" applyFont="1" applyFill="1" applyBorder="1"/>
    <xf numFmtId="164" fontId="0" fillId="36" borderId="98" xfId="7" applyNumberFormat="1" applyFont="1" applyFill="1" applyBorder="1" applyAlignment="1">
      <alignment vertical="center"/>
    </xf>
    <xf numFmtId="164" fontId="0" fillId="0" borderId="146" xfId="7" applyNumberFormat="1" applyFont="1" applyFill="1" applyBorder="1"/>
    <xf numFmtId="164" fontId="0" fillId="36" borderId="138" xfId="7" applyNumberFormat="1" applyFont="1" applyFill="1" applyBorder="1"/>
    <xf numFmtId="164" fontId="0" fillId="0" borderId="0" xfId="7" applyNumberFormat="1" applyFont="1"/>
    <xf numFmtId="193" fontId="9" fillId="0" borderId="146" xfId="0" applyNumberFormat="1" applyFont="1" applyBorder="1" applyAlignment="1">
      <alignment horizontal="right"/>
    </xf>
    <xf numFmtId="164" fontId="0" fillId="0" borderId="98" xfId="7" applyNumberFormat="1" applyFont="1" applyBorder="1" applyAlignment="1">
      <alignment vertical="center"/>
    </xf>
    <xf numFmtId="164" fontId="0" fillId="0" borderId="138" xfId="7" applyNumberFormat="1" applyFont="1" applyBorder="1"/>
    <xf numFmtId="164" fontId="0" fillId="0" borderId="0" xfId="0" applyNumberFormat="1"/>
    <xf numFmtId="164" fontId="7" fillId="0" borderId="14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93" fontId="7" fillId="0" borderId="146" xfId="0" applyNumberFormat="1" applyFont="1" applyBorder="1" applyAlignment="1" applyProtection="1">
      <alignment horizontal="right" vertical="center" wrapText="1"/>
      <protection locked="0"/>
    </xf>
    <xf numFmtId="10" fontId="4" fillId="0" borderId="146" xfId="20961" applyNumberFormat="1" applyFont="1" applyFill="1" applyBorder="1" applyAlignment="1" applyProtection="1">
      <alignment horizontal="right" vertical="center" wrapText="1"/>
    </xf>
    <xf numFmtId="10" fontId="4" fillId="0" borderId="146" xfId="20961" applyNumberFormat="1" applyFont="1" applyFill="1" applyBorder="1" applyAlignment="1" applyProtection="1">
      <alignment horizontal="right" vertical="center" wrapText="1"/>
      <protection locked="0"/>
    </xf>
    <xf numFmtId="10" fontId="17" fillId="2" borderId="98" xfId="20961" applyNumberFormat="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xf>
    <xf numFmtId="10" fontId="17" fillId="2" borderId="146" xfId="20961" applyNumberFormat="1" applyFont="1" applyFill="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64" fontId="9" fillId="0" borderId="146" xfId="7" applyNumberFormat="1" applyFont="1" applyFill="1" applyBorder="1" applyAlignment="1" applyProtection="1">
      <alignment vertical="center"/>
      <protection locked="0"/>
    </xf>
    <xf numFmtId="164" fontId="9" fillId="2" borderId="146" xfId="7" applyNumberFormat="1" applyFont="1" applyFill="1" applyBorder="1" applyAlignment="1" applyProtection="1">
      <alignment vertical="center"/>
      <protection locked="0"/>
    </xf>
    <xf numFmtId="164" fontId="17" fillId="2" borderId="146" xfId="7" applyNumberFormat="1" applyFont="1" applyFill="1" applyBorder="1" applyAlignment="1" applyProtection="1">
      <alignment vertical="center"/>
      <protection locked="0"/>
    </xf>
    <xf numFmtId="9" fontId="9" fillId="0" borderId="146" xfId="20961" applyFont="1" applyFill="1" applyBorder="1" applyAlignment="1" applyProtection="1">
      <alignment vertical="center"/>
      <protection locked="0"/>
    </xf>
    <xf numFmtId="9" fontId="9" fillId="2" borderId="146" xfId="20961" applyFont="1" applyFill="1" applyBorder="1" applyAlignment="1" applyProtection="1">
      <alignment vertical="center"/>
    </xf>
    <xf numFmtId="10" fontId="9" fillId="2" borderId="146" xfId="20961" applyNumberFormat="1" applyFont="1" applyFill="1" applyBorder="1" applyAlignment="1" applyProtection="1">
      <alignment vertical="center"/>
    </xf>
    <xf numFmtId="193" fontId="9" fillId="2" borderId="147" xfId="0" applyNumberFormat="1" applyFont="1" applyFill="1" applyBorder="1" applyAlignment="1" applyProtection="1">
      <alignment vertical="center"/>
      <protection locked="0"/>
    </xf>
    <xf numFmtId="10" fontId="9" fillId="2" borderId="153" xfId="20961" applyNumberFormat="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9" fontId="9" fillId="2" borderId="153" xfId="2096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07" xfId="20961" applyNumberFormat="1" applyFont="1" applyBorder="1"/>
    <xf numFmtId="43" fontId="4" fillId="0" borderId="146" xfId="7" applyFont="1" applyFill="1" applyBorder="1" applyAlignment="1">
      <alignment vertical="center" wrapText="1"/>
    </xf>
    <xf numFmtId="43" fontId="6" fillId="0" borderId="138" xfId="7" applyFont="1" applyFill="1" applyBorder="1" applyAlignment="1">
      <alignment vertical="center" wrapText="1"/>
    </xf>
    <xf numFmtId="43" fontId="6" fillId="0" borderId="138" xfId="7" applyFont="1" applyBorder="1" applyAlignment="1">
      <alignment vertical="center"/>
    </xf>
    <xf numFmtId="43" fontId="6" fillId="0" borderId="98" xfId="7" applyFont="1" applyBorder="1" applyAlignment="1">
      <alignment vertical="center"/>
    </xf>
    <xf numFmtId="43" fontId="6" fillId="0" borderId="146" xfId="7" applyFont="1" applyFill="1" applyBorder="1" applyAlignment="1">
      <alignment vertical="center" wrapText="1"/>
    </xf>
    <xf numFmtId="10" fontId="9" fillId="0" borderId="98" xfId="20961" applyNumberFormat="1" applyFont="1" applyFill="1" applyBorder="1" applyAlignment="1" applyProtection="1">
      <alignment vertical="center"/>
      <protection locked="0"/>
    </xf>
    <xf numFmtId="164" fontId="4" fillId="0" borderId="3" xfId="7" applyNumberFormat="1" applyFont="1" applyBorder="1"/>
    <xf numFmtId="164" fontId="4" fillId="36" borderId="24" xfId="7" applyNumberFormat="1" applyFont="1" applyFill="1" applyBorder="1"/>
    <xf numFmtId="0" fontId="7" fillId="0" borderId="0" xfId="0" applyFont="1" applyAlignment="1">
      <alignment horizontal="right" vertical="center" wrapText="1" indent="1"/>
    </xf>
    <xf numFmtId="164" fontId="120" fillId="0" borderId="138" xfId="7" applyNumberFormat="1" applyFont="1" applyBorder="1"/>
    <xf numFmtId="164" fontId="23" fillId="0" borderId="0" xfId="7" applyNumberFormat="1" applyFont="1"/>
    <xf numFmtId="164" fontId="117" fillId="0" borderId="0" xfId="0" applyNumberFormat="1" applyFont="1"/>
    <xf numFmtId="164" fontId="116" fillId="0" borderId="146" xfId="7" applyNumberFormat="1" applyFont="1" applyBorder="1"/>
    <xf numFmtId="164" fontId="119" fillId="0" borderId="146" xfId="7" applyNumberFormat="1" applyFont="1" applyBorder="1"/>
    <xf numFmtId="10" fontId="113" fillId="79" borderId="98" xfId="20961" applyNumberFormat="1" applyFont="1" applyFill="1" applyBorder="1" applyAlignment="1" applyProtection="1">
      <alignment horizontal="right" vertical="center"/>
    </xf>
    <xf numFmtId="164" fontId="4" fillId="0" borderId="99" xfId="7" applyNumberFormat="1" applyFont="1" applyBorder="1" applyAlignment="1">
      <alignment vertical="center"/>
    </xf>
    <xf numFmtId="164" fontId="4" fillId="0" borderId="112" xfId="7" applyNumberFormat="1" applyFont="1" applyBorder="1" applyAlignment="1">
      <alignment vertical="center"/>
    </xf>
    <xf numFmtId="164" fontId="4" fillId="3" borderId="96"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53" xfId="7" applyNumberFormat="1" applyFont="1" applyBorder="1" applyAlignment="1">
      <alignment vertical="center"/>
    </xf>
    <xf numFmtId="164" fontId="4" fillId="0" borderId="146" xfId="7" applyNumberFormat="1" applyFont="1" applyBorder="1" applyAlignment="1">
      <alignment vertical="center"/>
    </xf>
    <xf numFmtId="0" fontId="4" fillId="3" borderId="148" xfId="0" applyFont="1" applyFill="1" applyBorder="1" applyAlignment="1">
      <alignment vertical="center"/>
    </xf>
    <xf numFmtId="164" fontId="6" fillId="0" borderId="98" xfId="7" applyNumberFormat="1" applyFont="1" applyBorder="1" applyAlignment="1">
      <alignment vertical="center"/>
    </xf>
    <xf numFmtId="164" fontId="6" fillId="0" borderId="99" xfId="7" applyNumberFormat="1" applyFont="1" applyBorder="1" applyAlignment="1">
      <alignment vertical="center"/>
    </xf>
    <xf numFmtId="164" fontId="6" fillId="0" borderId="146" xfId="7"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6" fillId="0" borderId="153" xfId="0" applyNumberFormat="1" applyFont="1" applyBorder="1" applyAlignment="1">
      <alignment vertical="center"/>
    </xf>
    <xf numFmtId="193" fontId="9" fillId="0" borderId="98" xfId="0" applyNumberFormat="1" applyFont="1" applyBorder="1" applyAlignment="1" applyProtection="1">
      <alignment vertical="center"/>
      <protection locked="0"/>
    </xf>
    <xf numFmtId="9" fontId="9" fillId="0" borderId="98" xfId="20961" applyFont="1" applyFill="1" applyBorder="1" applyAlignment="1" applyProtection="1">
      <alignment vertical="center"/>
      <protection locked="0"/>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9" fillId="0" borderId="146" xfId="0" applyNumberFormat="1" applyFont="1" applyBorder="1"/>
    <xf numFmtId="164" fontId="119" fillId="0" borderId="146" xfId="0" applyNumberFormat="1" applyFont="1" applyBorder="1" applyAlignment="1">
      <alignment horizontal="center" vertical="center"/>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119" fillId="84" borderId="146" xfId="7" applyNumberFormat="1" applyFont="1" applyFill="1" applyBorder="1"/>
    <xf numFmtId="164" fontId="116" fillId="0" borderId="146" xfId="0" applyNumberFormat="1" applyFont="1" applyBorder="1" applyAlignment="1">
      <alignment horizontal="left" indent="1"/>
    </xf>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9" fillId="0" borderId="69" xfId="0" applyNumberFormat="1" applyFont="1" applyBorder="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119" fillId="0" borderId="156" xfId="7" applyNumberFormat="1" applyFont="1" applyBorder="1" applyAlignment="1">
      <alignment horizontal="left" wrapText="1" indent="3"/>
    </xf>
    <xf numFmtId="164" fontId="119" fillId="0" borderId="156" xfId="7" applyNumberFormat="1" applyFont="1" applyFill="1" applyBorder="1" applyAlignment="1">
      <alignment horizontal="left" indent="2"/>
    </xf>
    <xf numFmtId="164" fontId="116" fillId="0" borderId="155" xfId="7" applyNumberFormat="1" applyFont="1" applyBorder="1"/>
    <xf numFmtId="164" fontId="116" fillId="81" borderId="156" xfId="7" applyNumberFormat="1" applyFont="1" applyFill="1" applyBorder="1"/>
    <xf numFmtId="164" fontId="116" fillId="81" borderId="146" xfId="7" applyNumberFormat="1" applyFont="1" applyFill="1" applyBorder="1"/>
    <xf numFmtId="164" fontId="116" fillId="81" borderId="155" xfId="7" applyNumberFormat="1" applyFont="1" applyFill="1" applyBorder="1"/>
    <xf numFmtId="164" fontId="116" fillId="0" borderId="153" xfId="7" applyNumberFormat="1" applyFont="1" applyBorder="1"/>
    <xf numFmtId="164" fontId="116" fillId="0" borderId="152" xfId="7" applyNumberFormat="1" applyFont="1" applyBorder="1"/>
    <xf numFmtId="164" fontId="121" fillId="0" borderId="146" xfId="7" applyNumberFormat="1" applyFont="1" applyBorder="1"/>
    <xf numFmtId="164" fontId="125" fillId="0" borderId="0" xfId="0" applyNumberFormat="1" applyFont="1"/>
    <xf numFmtId="164" fontId="6" fillId="0" borderId="98" xfId="7" applyNumberFormat="1" applyFont="1" applyBorder="1"/>
    <xf numFmtId="164" fontId="4" fillId="0" borderId="98" xfId="7" applyNumberFormat="1" applyFont="1" applyBorder="1" applyAlignment="1"/>
    <xf numFmtId="164" fontId="4" fillId="0" borderId="112" xfId="7" applyNumberFormat="1" applyFont="1" applyBorder="1" applyAlignment="1"/>
    <xf numFmtId="164" fontId="6" fillId="0" borderId="98" xfId="7" applyNumberFormat="1" applyFont="1" applyFill="1" applyBorder="1"/>
    <xf numFmtId="164" fontId="6" fillId="0" borderId="98" xfId="7" applyNumberFormat="1" applyFont="1" applyFill="1" applyBorder="1" applyAlignment="1">
      <alignment vertical="center"/>
    </xf>
    <xf numFmtId="164" fontId="6" fillId="0" borderId="155" xfId="7" applyNumberFormat="1" applyFont="1" applyBorder="1"/>
    <xf numFmtId="164" fontId="121" fillId="0" borderId="146" xfId="0" applyNumberFormat="1" applyFont="1" applyBorder="1"/>
    <xf numFmtId="164" fontId="143" fillId="0" borderId="146" xfId="7" applyNumberFormat="1" applyFont="1" applyBorder="1"/>
    <xf numFmtId="164" fontId="143" fillId="0" borderId="146" xfId="0" applyNumberFormat="1" applyFont="1" applyBorder="1"/>
    <xf numFmtId="43" fontId="121" fillId="0" borderId="146" xfId="7" applyFont="1" applyBorder="1"/>
    <xf numFmtId="43" fontId="143" fillId="0" borderId="146" xfId="7" applyFont="1" applyBorder="1"/>
    <xf numFmtId="43" fontId="121" fillId="0" borderId="147" xfId="7" applyFont="1" applyBorder="1"/>
    <xf numFmtId="164" fontId="121" fillId="0" borderId="147" xfId="7" applyNumberFormat="1" applyFont="1" applyBorder="1"/>
    <xf numFmtId="9" fontId="121" fillId="0" borderId="146" xfId="20961" applyFont="1" applyBorder="1"/>
    <xf numFmtId="9" fontId="121" fillId="0" borderId="147" xfId="20961" applyFont="1" applyBorder="1"/>
    <xf numFmtId="43" fontId="139" fillId="0" borderId="0" xfId="7" applyFont="1"/>
    <xf numFmtId="164" fontId="139" fillId="0" borderId="0" xfId="7" applyNumberFormat="1" applyFont="1"/>
    <xf numFmtId="9" fontId="143" fillId="0" borderId="146" xfId="20961" applyFont="1" applyBorder="1"/>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0" fontId="0" fillId="0" borderId="141" xfId="0"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6" fillId="0" borderId="99" xfId="0" applyFont="1" applyBorder="1" applyAlignment="1">
      <alignment horizontal="left"/>
    </xf>
    <xf numFmtId="0" fontId="106" fillId="0" borderId="97" xfId="0" applyFont="1" applyBorder="1" applyAlignment="1">
      <alignment horizontal="left"/>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Border="1" applyAlignment="1">
      <alignment horizontal="center" vertical="center"/>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49" fontId="106" fillId="0" borderId="0" xfId="0" applyNumberFormat="1" applyFont="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6" xfId="0" applyFont="1" applyBorder="1" applyAlignment="1">
      <alignment horizontal="left" vertical="top" wrapText="1"/>
    </xf>
    <xf numFmtId="0" fontId="106" fillId="0" borderId="149" xfId="0" applyFont="1" applyBorder="1" applyAlignment="1">
      <alignment horizontal="left" vertical="top" wrapText="1"/>
    </xf>
    <xf numFmtId="0" fontId="106" fillId="0" borderId="146" xfId="0" applyFont="1" applyBorder="1" applyAlignment="1">
      <alignment horizontal="left" vertical="center" wrapText="1"/>
    </xf>
    <xf numFmtId="0" fontId="106" fillId="0" borderId="146" xfId="0" applyFont="1" applyBorder="1" applyAlignment="1">
      <alignment horizontal="center"/>
    </xf>
    <xf numFmtId="0" fontId="106" fillId="0" borderId="148" xfId="0" applyFont="1" applyBorder="1" applyAlignment="1">
      <alignment horizontal="left" vertical="top"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C3" sqref="C3"/>
    </sheetView>
  </sheetViews>
  <sheetFormatPr defaultRowHeight="14.4"/>
  <cols>
    <col min="1" max="1" width="10.21875" style="1" customWidth="1"/>
    <col min="2" max="2" width="153" bestFit="1" customWidth="1"/>
    <col min="3" max="3" width="39.44140625" customWidth="1"/>
    <col min="7" max="7" width="25" customWidth="1"/>
  </cols>
  <sheetData>
    <row r="1" spans="1:3">
      <c r="A1" s="6"/>
      <c r="B1" s="120" t="s">
        <v>163</v>
      </c>
      <c r="C1" s="47"/>
    </row>
    <row r="2" spans="1:3" s="117" customFormat="1">
      <c r="A2" s="161">
        <v>1</v>
      </c>
      <c r="B2" s="118" t="s">
        <v>164</v>
      </c>
      <c r="C2" s="633" t="s">
        <v>963</v>
      </c>
    </row>
    <row r="3" spans="1:3" s="117" customFormat="1">
      <c r="A3" s="161">
        <v>2</v>
      </c>
      <c r="B3" s="119" t="s">
        <v>165</v>
      </c>
      <c r="C3" s="633" t="s">
        <v>960</v>
      </c>
    </row>
    <row r="4" spans="1:3" s="117" customFormat="1">
      <c r="A4" s="161">
        <v>3</v>
      </c>
      <c r="B4" s="119" t="s">
        <v>166</v>
      </c>
      <c r="C4" s="633" t="s">
        <v>961</v>
      </c>
    </row>
    <row r="5" spans="1:3" s="117" customFormat="1">
      <c r="A5" s="162">
        <v>4</v>
      </c>
      <c r="B5" s="122" t="s">
        <v>167</v>
      </c>
      <c r="C5" s="634" t="s">
        <v>962</v>
      </c>
    </row>
    <row r="6" spans="1:3" s="121" customFormat="1" ht="65.25" customHeight="1">
      <c r="A6" s="758" t="s">
        <v>325</v>
      </c>
      <c r="B6" s="759"/>
      <c r="C6" s="759"/>
    </row>
    <row r="7" spans="1:3">
      <c r="A7" s="269" t="s">
        <v>255</v>
      </c>
      <c r="B7" s="270" t="s">
        <v>168</v>
      </c>
    </row>
    <row r="8" spans="1:3">
      <c r="A8" s="271">
        <v>1</v>
      </c>
      <c r="B8" s="267" t="s">
        <v>143</v>
      </c>
    </row>
    <row r="9" spans="1:3">
      <c r="A9" s="271">
        <v>2</v>
      </c>
      <c r="B9" s="267" t="s">
        <v>169</v>
      </c>
    </row>
    <row r="10" spans="1:3">
      <c r="A10" s="271">
        <v>3</v>
      </c>
      <c r="B10" s="267" t="s">
        <v>170</v>
      </c>
    </row>
    <row r="11" spans="1:3">
      <c r="A11" s="271">
        <v>4</v>
      </c>
      <c r="B11" s="267" t="s">
        <v>171</v>
      </c>
    </row>
    <row r="12" spans="1:3">
      <c r="A12" s="271">
        <v>5</v>
      </c>
      <c r="B12" s="267" t="s">
        <v>110</v>
      </c>
    </row>
    <row r="13" spans="1:3">
      <c r="A13" s="271">
        <v>6</v>
      </c>
      <c r="B13" s="272" t="s">
        <v>94</v>
      </c>
    </row>
    <row r="14" spans="1:3">
      <c r="A14" s="271">
        <v>7</v>
      </c>
      <c r="B14" s="267" t="s">
        <v>172</v>
      </c>
    </row>
    <row r="15" spans="1:3">
      <c r="A15" s="271">
        <v>8</v>
      </c>
      <c r="B15" s="267" t="s">
        <v>175</v>
      </c>
    </row>
    <row r="16" spans="1:3">
      <c r="A16" s="271">
        <v>9</v>
      </c>
      <c r="B16" s="267" t="s">
        <v>88</v>
      </c>
    </row>
    <row r="17" spans="1:2">
      <c r="A17" s="273" t="s">
        <v>382</v>
      </c>
      <c r="B17" s="267" t="s">
        <v>362</v>
      </c>
    </row>
    <row r="18" spans="1:2">
      <c r="A18" s="271">
        <v>10</v>
      </c>
      <c r="B18" s="267" t="s">
        <v>176</v>
      </c>
    </row>
    <row r="19" spans="1:2">
      <c r="A19" s="271">
        <v>11</v>
      </c>
      <c r="B19" s="272" t="s">
        <v>159</v>
      </c>
    </row>
    <row r="20" spans="1:2">
      <c r="A20" s="271">
        <v>12</v>
      </c>
      <c r="B20" s="272" t="s">
        <v>156</v>
      </c>
    </row>
    <row r="21" spans="1:2">
      <c r="A21" s="271">
        <v>13</v>
      </c>
      <c r="B21" s="274" t="s">
        <v>301</v>
      </c>
    </row>
    <row r="22" spans="1:2">
      <c r="A22" s="271">
        <v>14</v>
      </c>
      <c r="B22" s="267" t="s">
        <v>355</v>
      </c>
    </row>
    <row r="23" spans="1:2">
      <c r="A23" s="271">
        <v>15</v>
      </c>
      <c r="B23" s="267" t="s">
        <v>77</v>
      </c>
    </row>
    <row r="24" spans="1:2">
      <c r="A24" s="271">
        <v>15.1</v>
      </c>
      <c r="B24" s="267" t="s">
        <v>391</v>
      </c>
    </row>
    <row r="25" spans="1:2">
      <c r="A25" s="271">
        <v>16</v>
      </c>
      <c r="B25" s="267" t="s">
        <v>457</v>
      </c>
    </row>
    <row r="26" spans="1:2">
      <c r="A26" s="271">
        <v>17</v>
      </c>
      <c r="B26" s="267" t="s">
        <v>682</v>
      </c>
    </row>
    <row r="27" spans="1:2">
      <c r="A27" s="271">
        <v>18</v>
      </c>
      <c r="B27" s="267" t="s">
        <v>953</v>
      </c>
    </row>
    <row r="28" spans="1:2">
      <c r="A28" s="271">
        <v>19</v>
      </c>
      <c r="B28" s="267" t="s">
        <v>954</v>
      </c>
    </row>
    <row r="29" spans="1:2">
      <c r="A29" s="271">
        <v>20</v>
      </c>
      <c r="B29" s="267" t="s">
        <v>955</v>
      </c>
    </row>
    <row r="30" spans="1:2">
      <c r="A30" s="271">
        <v>21</v>
      </c>
      <c r="B30" s="267" t="s">
        <v>550</v>
      </c>
    </row>
    <row r="31" spans="1:2">
      <c r="A31" s="271">
        <v>22</v>
      </c>
      <c r="B31" s="267" t="s">
        <v>956</v>
      </c>
    </row>
    <row r="32" spans="1:2" ht="26.4">
      <c r="A32" s="271">
        <v>23</v>
      </c>
      <c r="B32" s="630" t="s">
        <v>952</v>
      </c>
    </row>
    <row r="33" spans="1:2">
      <c r="A33" s="271">
        <v>24</v>
      </c>
      <c r="B33" s="267" t="s">
        <v>957</v>
      </c>
    </row>
    <row r="34" spans="1:2">
      <c r="A34" s="271">
        <v>25</v>
      </c>
      <c r="B34" s="267" t="s">
        <v>958</v>
      </c>
    </row>
    <row r="35" spans="1:2">
      <c r="A35" s="271">
        <v>26</v>
      </c>
      <c r="B35" s="267" t="s">
        <v>730</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A63B1CF-F795-467B-884A-402C5BC32F7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40" activePane="bottomRight" state="frozen"/>
      <selection pane="topRight" activeCell="B1" sqref="B1"/>
      <selection pane="bottomLeft" activeCell="A5" sqref="A5"/>
      <selection pane="bottomRight" activeCell="C6" sqref="C6:C53"/>
    </sheetView>
  </sheetViews>
  <sheetFormatPr defaultRowHeight="14.4"/>
  <cols>
    <col min="1" max="1" width="9.5546875" style="1" bestFit="1" customWidth="1"/>
    <col min="2" max="2" width="132.44140625" style="1" customWidth="1"/>
    <col min="3" max="3" width="18.44140625" style="1" customWidth="1"/>
  </cols>
  <sheetData>
    <row r="1" spans="1:6">
      <c r="A1" s="13" t="s">
        <v>111</v>
      </c>
      <c r="B1" s="12" t="str">
        <f>Info!C2</f>
        <v>სს "კრედო ბანკი"</v>
      </c>
      <c r="D1" s="1"/>
      <c r="E1" s="1"/>
      <c r="F1" s="1"/>
    </row>
    <row r="2" spans="1:6" s="13" customFormat="1" ht="15.75" customHeight="1">
      <c r="A2" s="13" t="s">
        <v>112</v>
      </c>
      <c r="B2" s="338">
        <f>'1. key ratios'!B2</f>
        <v>45382</v>
      </c>
    </row>
    <row r="3" spans="1:6" s="13" customFormat="1" ht="15.75" customHeight="1"/>
    <row r="4" spans="1:6" ht="15" thickBot="1">
      <c r="A4" s="1" t="s">
        <v>261</v>
      </c>
      <c r="B4" s="23" t="s">
        <v>88</v>
      </c>
    </row>
    <row r="5" spans="1:6">
      <c r="A5" s="78" t="s">
        <v>27</v>
      </c>
      <c r="B5" s="79"/>
      <c r="C5" s="80" t="s">
        <v>28</v>
      </c>
    </row>
    <row r="6" spans="1:6">
      <c r="A6" s="81">
        <v>1</v>
      </c>
      <c r="B6" s="43" t="s">
        <v>29</v>
      </c>
      <c r="C6" s="171">
        <f>SUM(C7:C11)</f>
        <v>317917966.23000675</v>
      </c>
    </row>
    <row r="7" spans="1:6">
      <c r="A7" s="81">
        <v>2</v>
      </c>
      <c r="B7" s="40" t="s">
        <v>30</v>
      </c>
      <c r="C7" s="172">
        <v>5210230</v>
      </c>
    </row>
    <row r="8" spans="1:6">
      <c r="A8" s="81">
        <v>3</v>
      </c>
      <c r="B8" s="35" t="s">
        <v>31</v>
      </c>
      <c r="C8" s="172">
        <v>37102057.82</v>
      </c>
    </row>
    <row r="9" spans="1:6">
      <c r="A9" s="81">
        <v>4</v>
      </c>
      <c r="B9" s="35" t="s">
        <v>32</v>
      </c>
      <c r="C9" s="172"/>
    </row>
    <row r="10" spans="1:6">
      <c r="A10" s="81">
        <v>5</v>
      </c>
      <c r="B10" s="35" t="s">
        <v>33</v>
      </c>
      <c r="C10" s="172"/>
    </row>
    <row r="11" spans="1:6">
      <c r="A11" s="81">
        <v>6</v>
      </c>
      <c r="B11" s="41" t="s">
        <v>34</v>
      </c>
      <c r="C11" s="172">
        <v>275605678.41000676</v>
      </c>
    </row>
    <row r="12" spans="1:6" s="2" customFormat="1">
      <c r="A12" s="81">
        <v>7</v>
      </c>
      <c r="B12" s="43" t="s">
        <v>35</v>
      </c>
      <c r="C12" s="173">
        <f>SUM(C13:C28)</f>
        <v>23157935.830000002</v>
      </c>
    </row>
    <row r="13" spans="1:6" s="2" customFormat="1">
      <c r="A13" s="81">
        <v>8</v>
      </c>
      <c r="B13" s="42" t="s">
        <v>36</v>
      </c>
      <c r="C13" s="174"/>
    </row>
    <row r="14" spans="1:6" s="2" customFormat="1" ht="27.6">
      <c r="A14" s="81">
        <v>9</v>
      </c>
      <c r="B14" s="36" t="s">
        <v>37</v>
      </c>
      <c r="C14" s="174"/>
    </row>
    <row r="15" spans="1:6" s="2" customFormat="1">
      <c r="A15" s="81">
        <v>10</v>
      </c>
      <c r="B15" s="37" t="s">
        <v>38</v>
      </c>
      <c r="C15" s="174">
        <v>23157935.830000002</v>
      </c>
    </row>
    <row r="16" spans="1:6" s="2" customFormat="1">
      <c r="A16" s="81">
        <v>11</v>
      </c>
      <c r="B16" s="38" t="s">
        <v>39</v>
      </c>
      <c r="C16" s="174"/>
    </row>
    <row r="17" spans="1:3" s="2" customFormat="1">
      <c r="A17" s="81">
        <v>12</v>
      </c>
      <c r="B17" s="37" t="s">
        <v>40</v>
      </c>
      <c r="C17" s="174"/>
    </row>
    <row r="18" spans="1:3" s="2" customFormat="1">
      <c r="A18" s="81">
        <v>13</v>
      </c>
      <c r="B18" s="37" t="s">
        <v>41</v>
      </c>
      <c r="C18" s="174"/>
    </row>
    <row r="19" spans="1:3" s="2" customFormat="1">
      <c r="A19" s="81">
        <v>14</v>
      </c>
      <c r="B19" s="37" t="s">
        <v>42</v>
      </c>
      <c r="C19" s="174"/>
    </row>
    <row r="20" spans="1:3" s="2" customFormat="1" ht="27.6">
      <c r="A20" s="81">
        <v>15</v>
      </c>
      <c r="B20" s="37" t="s">
        <v>43</v>
      </c>
      <c r="C20" s="174"/>
    </row>
    <row r="21" spans="1:3" s="2" customFormat="1" ht="27.6">
      <c r="A21" s="81">
        <v>16</v>
      </c>
      <c r="B21" s="36" t="s">
        <v>44</v>
      </c>
      <c r="C21" s="174"/>
    </row>
    <row r="22" spans="1:3" s="2" customFormat="1">
      <c r="A22" s="81">
        <v>17</v>
      </c>
      <c r="B22" s="82" t="s">
        <v>45</v>
      </c>
      <c r="C22" s="174"/>
    </row>
    <row r="23" spans="1:3" s="2" customFormat="1">
      <c r="A23" s="81">
        <v>18</v>
      </c>
      <c r="B23" s="631" t="s">
        <v>733</v>
      </c>
      <c r="C23" s="398"/>
    </row>
    <row r="24" spans="1:3" s="2" customFormat="1" ht="27.6">
      <c r="A24" s="81">
        <v>19</v>
      </c>
      <c r="B24" s="36" t="s">
        <v>46</v>
      </c>
      <c r="C24" s="174"/>
    </row>
    <row r="25" spans="1:3" s="2" customFormat="1" ht="27.6">
      <c r="A25" s="81">
        <v>20</v>
      </c>
      <c r="B25" s="36" t="s">
        <v>47</v>
      </c>
      <c r="C25" s="174"/>
    </row>
    <row r="26" spans="1:3" s="2" customFormat="1" ht="27.6">
      <c r="A26" s="81">
        <v>21</v>
      </c>
      <c r="B26" s="38" t="s">
        <v>48</v>
      </c>
      <c r="C26" s="174"/>
    </row>
    <row r="27" spans="1:3" s="2" customFormat="1">
      <c r="A27" s="81">
        <v>22</v>
      </c>
      <c r="B27" s="38" t="s">
        <v>49</v>
      </c>
      <c r="C27" s="174"/>
    </row>
    <row r="28" spans="1:3" s="2" customFormat="1" ht="27.6">
      <c r="A28" s="81">
        <v>23</v>
      </c>
      <c r="B28" s="38" t="s">
        <v>50</v>
      </c>
      <c r="C28" s="174"/>
    </row>
    <row r="29" spans="1:3" s="2" customFormat="1">
      <c r="A29" s="81">
        <v>24</v>
      </c>
      <c r="B29" s="44" t="s">
        <v>24</v>
      </c>
      <c r="C29" s="173">
        <f>C6-C12</f>
        <v>294760030.40000677</v>
      </c>
    </row>
    <row r="30" spans="1:3" s="2" customFormat="1">
      <c r="A30" s="83"/>
      <c r="B30" s="39"/>
      <c r="C30" s="174"/>
    </row>
    <row r="31" spans="1:3" s="2" customFormat="1">
      <c r="A31" s="83">
        <v>25</v>
      </c>
      <c r="B31" s="44" t="s">
        <v>51</v>
      </c>
      <c r="C31" s="173">
        <f>C32+C35</f>
        <v>0</v>
      </c>
    </row>
    <row r="32" spans="1:3" s="2" customFormat="1">
      <c r="A32" s="83">
        <v>26</v>
      </c>
      <c r="B32" s="35" t="s">
        <v>52</v>
      </c>
      <c r="C32" s="175">
        <f>C33+C34</f>
        <v>0</v>
      </c>
    </row>
    <row r="33" spans="1:3" s="2" customFormat="1">
      <c r="A33" s="83">
        <v>27</v>
      </c>
      <c r="B33" s="115" t="s">
        <v>53</v>
      </c>
      <c r="C33" s="174"/>
    </row>
    <row r="34" spans="1:3" s="2" customFormat="1">
      <c r="A34" s="83">
        <v>28</v>
      </c>
      <c r="B34" s="115" t="s">
        <v>54</v>
      </c>
      <c r="C34" s="174"/>
    </row>
    <row r="35" spans="1:3" s="2" customFormat="1">
      <c r="A35" s="83">
        <v>29</v>
      </c>
      <c r="B35" s="35" t="s">
        <v>55</v>
      </c>
      <c r="C35" s="174"/>
    </row>
    <row r="36" spans="1:3" s="2" customFormat="1">
      <c r="A36" s="83">
        <v>30</v>
      </c>
      <c r="B36" s="44" t="s">
        <v>56</v>
      </c>
      <c r="C36" s="173">
        <f>SUM(C37:C41)</f>
        <v>0</v>
      </c>
    </row>
    <row r="37" spans="1:3" s="2" customFormat="1">
      <c r="A37" s="83">
        <v>31</v>
      </c>
      <c r="B37" s="36" t="s">
        <v>57</v>
      </c>
      <c r="C37" s="174"/>
    </row>
    <row r="38" spans="1:3" s="2" customFormat="1">
      <c r="A38" s="83">
        <v>32</v>
      </c>
      <c r="B38" s="37" t="s">
        <v>58</v>
      </c>
      <c r="C38" s="174"/>
    </row>
    <row r="39" spans="1:3" s="2" customFormat="1" ht="27.6">
      <c r="A39" s="83">
        <v>33</v>
      </c>
      <c r="B39" s="36" t="s">
        <v>59</v>
      </c>
      <c r="C39" s="174"/>
    </row>
    <row r="40" spans="1:3" s="2" customFormat="1" ht="27.6">
      <c r="A40" s="83">
        <v>34</v>
      </c>
      <c r="B40" s="36" t="s">
        <v>47</v>
      </c>
      <c r="C40" s="174"/>
    </row>
    <row r="41" spans="1:3" s="2" customFormat="1" ht="27.6">
      <c r="A41" s="83">
        <v>35</v>
      </c>
      <c r="B41" s="38" t="s">
        <v>60</v>
      </c>
      <c r="C41" s="174"/>
    </row>
    <row r="42" spans="1:3" s="2" customFormat="1">
      <c r="A42" s="83">
        <v>36</v>
      </c>
      <c r="B42" s="44" t="s">
        <v>25</v>
      </c>
      <c r="C42" s="173">
        <f>C31-C36</f>
        <v>0</v>
      </c>
    </row>
    <row r="43" spans="1:3" s="2" customFormat="1">
      <c r="A43" s="83"/>
      <c r="B43" s="39"/>
      <c r="C43" s="174"/>
    </row>
    <row r="44" spans="1:3" s="2" customFormat="1">
      <c r="A44" s="83">
        <v>37</v>
      </c>
      <c r="B44" s="45" t="s">
        <v>61</v>
      </c>
      <c r="C44" s="173">
        <f>SUM(C45:C47)</f>
        <v>91627565</v>
      </c>
    </row>
    <row r="45" spans="1:3" s="2" customFormat="1">
      <c r="A45" s="83">
        <v>38</v>
      </c>
      <c r="B45" s="35" t="s">
        <v>62</v>
      </c>
      <c r="C45" s="174">
        <v>91627565</v>
      </c>
    </row>
    <row r="46" spans="1:3" s="2" customFormat="1">
      <c r="A46" s="83">
        <v>39</v>
      </c>
      <c r="B46" s="35" t="s">
        <v>63</v>
      </c>
      <c r="C46" s="174"/>
    </row>
    <row r="47" spans="1:3" s="2" customFormat="1">
      <c r="A47" s="83">
        <v>40</v>
      </c>
      <c r="B47" s="632" t="s">
        <v>732</v>
      </c>
      <c r="C47" s="174"/>
    </row>
    <row r="48" spans="1:3" s="2" customFormat="1">
      <c r="A48" s="83">
        <v>41</v>
      </c>
      <c r="B48" s="45" t="s">
        <v>64</v>
      </c>
      <c r="C48" s="173">
        <f>SUM(C49:C52)</f>
        <v>0</v>
      </c>
    </row>
    <row r="49" spans="1:3" s="2" customFormat="1">
      <c r="A49" s="83">
        <v>42</v>
      </c>
      <c r="B49" s="36" t="s">
        <v>65</v>
      </c>
      <c r="C49" s="174"/>
    </row>
    <row r="50" spans="1:3" s="2" customFormat="1">
      <c r="A50" s="83">
        <v>43</v>
      </c>
      <c r="B50" s="37" t="s">
        <v>66</v>
      </c>
      <c r="C50" s="174"/>
    </row>
    <row r="51" spans="1:3" s="2" customFormat="1" ht="27.6">
      <c r="A51" s="83">
        <v>44</v>
      </c>
      <c r="B51" s="36" t="s">
        <v>67</v>
      </c>
      <c r="C51" s="174"/>
    </row>
    <row r="52" spans="1:3" s="2" customFormat="1" ht="27.6">
      <c r="A52" s="83">
        <v>45</v>
      </c>
      <c r="B52" s="36" t="s">
        <v>47</v>
      </c>
      <c r="C52" s="174"/>
    </row>
    <row r="53" spans="1:3" s="2" customFormat="1" ht="15" thickBot="1">
      <c r="A53" s="83">
        <v>46</v>
      </c>
      <c r="B53" s="84" t="s">
        <v>26</v>
      </c>
      <c r="C53" s="176">
        <f>C44-C48</f>
        <v>91627565</v>
      </c>
    </row>
    <row r="56" spans="1:3">
      <c r="B56" s="1" t="s">
        <v>145</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111</v>
      </c>
      <c r="B1" s="12" t="str">
        <f>Info!C2</f>
        <v>სს "კრედო ბანკი"</v>
      </c>
    </row>
    <row r="2" spans="1:4" s="13" customFormat="1" ht="15.75" customHeight="1">
      <c r="A2" s="13" t="s">
        <v>112</v>
      </c>
      <c r="B2" s="338">
        <f>'1. key ratios'!B2</f>
        <v>45382</v>
      </c>
    </row>
    <row r="3" spans="1:4" s="13" customFormat="1" ht="15.75" customHeight="1"/>
    <row r="4" spans="1:4" ht="14.4" thickBot="1">
      <c r="A4" s="1" t="s">
        <v>361</v>
      </c>
      <c r="B4" s="256" t="s">
        <v>362</v>
      </c>
    </row>
    <row r="5" spans="1:4" s="31" customFormat="1">
      <c r="A5" s="791" t="s">
        <v>363</v>
      </c>
      <c r="B5" s="792"/>
      <c r="C5" s="246" t="s">
        <v>364</v>
      </c>
      <c r="D5" s="247" t="s">
        <v>365</v>
      </c>
    </row>
    <row r="6" spans="1:4" s="257" customFormat="1">
      <c r="A6" s="248">
        <v>1</v>
      </c>
      <c r="B6" s="249" t="s">
        <v>366</v>
      </c>
      <c r="C6" s="249"/>
      <c r="D6" s="250"/>
    </row>
    <row r="7" spans="1:4" s="257" customFormat="1">
      <c r="A7" s="251" t="s">
        <v>367</v>
      </c>
      <c r="B7" s="252" t="s">
        <v>368</v>
      </c>
      <c r="C7" s="300">
        <v>4.4999999999999998E-2</v>
      </c>
      <c r="D7" s="670">
        <f>C7*'5. RWA'!$C$13</f>
        <v>98498208.993793964</v>
      </c>
    </row>
    <row r="8" spans="1:4" s="257" customFormat="1">
      <c r="A8" s="251" t="s">
        <v>369</v>
      </c>
      <c r="B8" s="252" t="s">
        <v>370</v>
      </c>
      <c r="C8" s="301">
        <v>0.06</v>
      </c>
      <c r="D8" s="670">
        <f>C8*'5. RWA'!$C$13</f>
        <v>131330945.32505862</v>
      </c>
    </row>
    <row r="9" spans="1:4" s="257" customFormat="1">
      <c r="A9" s="251" t="s">
        <v>371</v>
      </c>
      <c r="B9" s="252" t="s">
        <v>372</v>
      </c>
      <c r="C9" s="301">
        <v>0.08</v>
      </c>
      <c r="D9" s="670">
        <f>C9*'5. RWA'!$C$13</f>
        <v>175107927.10007817</v>
      </c>
    </row>
    <row r="10" spans="1:4" s="257" customFormat="1">
      <c r="A10" s="248" t="s">
        <v>373</v>
      </c>
      <c r="B10" s="249" t="s">
        <v>374</v>
      </c>
      <c r="C10" s="302"/>
      <c r="D10" s="671"/>
    </row>
    <row r="11" spans="1:4" s="258" customFormat="1">
      <c r="A11" s="253" t="s">
        <v>375</v>
      </c>
      <c r="B11" s="254" t="s">
        <v>437</v>
      </c>
      <c r="C11" s="303">
        <v>2.5000000000000001E-2</v>
      </c>
      <c r="D11" s="672">
        <f>C11*'5. RWA'!$C$13</f>
        <v>54721227.21877443</v>
      </c>
    </row>
    <row r="12" spans="1:4" s="258" customFormat="1">
      <c r="A12" s="253" t="s">
        <v>376</v>
      </c>
      <c r="B12" s="254" t="s">
        <v>377</v>
      </c>
      <c r="C12" s="303">
        <v>2.5000000000000001E-3</v>
      </c>
      <c r="D12" s="672">
        <f>C12*'5. RWA'!$C$13</f>
        <v>5472122.7218774427</v>
      </c>
    </row>
    <row r="13" spans="1:4" s="258" customFormat="1">
      <c r="A13" s="253" t="s">
        <v>378</v>
      </c>
      <c r="B13" s="254" t="s">
        <v>379</v>
      </c>
      <c r="C13" s="303"/>
      <c r="D13" s="672">
        <f>C13*'5. RWA'!$C$13</f>
        <v>0</v>
      </c>
    </row>
    <row r="14" spans="1:4" s="257" customFormat="1">
      <c r="A14" s="248" t="s">
        <v>380</v>
      </c>
      <c r="B14" s="249" t="s">
        <v>435</v>
      </c>
      <c r="C14" s="304"/>
      <c r="D14" s="671"/>
    </row>
    <row r="15" spans="1:4" s="257" customFormat="1">
      <c r="A15" s="268" t="s">
        <v>383</v>
      </c>
      <c r="B15" s="254" t="s">
        <v>436</v>
      </c>
      <c r="C15" s="303">
        <v>3.4963526465998429E-2</v>
      </c>
      <c r="D15" s="672">
        <f>C15*'5. RWA'!$C$13</f>
        <v>76529883.044621333</v>
      </c>
    </row>
    <row r="16" spans="1:4" s="257" customFormat="1">
      <c r="A16" s="268" t="s">
        <v>384</v>
      </c>
      <c r="B16" s="254" t="s">
        <v>386</v>
      </c>
      <c r="C16" s="303">
        <v>4.087187011541369E-2</v>
      </c>
      <c r="D16" s="672">
        <f>C16*'5. RWA'!$C$13</f>
        <v>89462355.657671541</v>
      </c>
    </row>
    <row r="17" spans="1:4" s="257" customFormat="1">
      <c r="A17" s="268" t="s">
        <v>385</v>
      </c>
      <c r="B17" s="254" t="s">
        <v>433</v>
      </c>
      <c r="C17" s="303">
        <v>4.8646006496223249E-2</v>
      </c>
      <c r="D17" s="672">
        <f>C17*'5. RWA'!$C$13</f>
        <v>106478766.99063237</v>
      </c>
    </row>
    <row r="18" spans="1:4" s="31" customFormat="1">
      <c r="A18" s="793" t="s">
        <v>434</v>
      </c>
      <c r="B18" s="794"/>
      <c r="C18" s="305" t="s">
        <v>364</v>
      </c>
      <c r="D18" s="673" t="s">
        <v>365</v>
      </c>
    </row>
    <row r="19" spans="1:4" s="257" customFormat="1">
      <c r="A19" s="255">
        <v>4</v>
      </c>
      <c r="B19" s="254" t="s">
        <v>24</v>
      </c>
      <c r="C19" s="303">
        <f>C7+C11+C12+C13+C15</f>
        <v>0.10746352646599844</v>
      </c>
      <c r="D19" s="670">
        <f>C19*'5. RWA'!$C$13</f>
        <v>235221441.97906718</v>
      </c>
    </row>
    <row r="20" spans="1:4" s="257" customFormat="1">
      <c r="A20" s="255">
        <v>5</v>
      </c>
      <c r="B20" s="254" t="s">
        <v>89</v>
      </c>
      <c r="C20" s="303">
        <f>C8+C11+C12+C13+C16</f>
        <v>0.12837187011541368</v>
      </c>
      <c r="D20" s="670">
        <f>C20*'5. RWA'!$C$13</f>
        <v>280986650.92338198</v>
      </c>
    </row>
    <row r="21" spans="1:4" s="257" customFormat="1" ht="14.4" thickBot="1">
      <c r="A21" s="259" t="s">
        <v>381</v>
      </c>
      <c r="B21" s="260" t="s">
        <v>88</v>
      </c>
      <c r="C21" s="306">
        <f>C9+C11+C12+C13+C17</f>
        <v>0.15614600649622326</v>
      </c>
      <c r="D21" s="674">
        <f>C21*'5. RWA'!$C$13</f>
        <v>341780044.03136241</v>
      </c>
    </row>
    <row r="23" spans="1:4" ht="69">
      <c r="B23" s="17" t="s">
        <v>438</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0" zoomScaleNormal="80" workbookViewId="0">
      <pane xSplit="1" ySplit="5" topLeftCell="B6" activePane="bottomRight" state="frozen"/>
      <selection pane="topRight" activeCell="B1" sqref="B1"/>
      <selection pane="bottomLeft" activeCell="A5" sqref="A5"/>
      <selection pane="bottomRight" activeCell="C6" sqref="C6:C68"/>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s>
  <sheetData>
    <row r="1" spans="1:6">
      <c r="A1" s="13" t="s">
        <v>111</v>
      </c>
      <c r="B1" s="14" t="str">
        <f>Info!C2</f>
        <v>სს "კრედო ბანკი"</v>
      </c>
      <c r="E1" s="1"/>
      <c r="F1" s="1"/>
    </row>
    <row r="2" spans="1:6" s="13" customFormat="1" ht="15.75" customHeight="1">
      <c r="A2" s="13" t="s">
        <v>112</v>
      </c>
      <c r="B2" s="338">
        <f>'1. key ratios'!B2</f>
        <v>45382</v>
      </c>
    </row>
    <row r="3" spans="1:6" s="13" customFormat="1" ht="15.75" customHeight="1">
      <c r="A3" s="20"/>
    </row>
    <row r="4" spans="1:6" s="13" customFormat="1" ht="15.75" customHeight="1" thickBot="1">
      <c r="A4" s="13" t="s">
        <v>262</v>
      </c>
      <c r="B4" s="137" t="s">
        <v>176</v>
      </c>
      <c r="D4" s="139" t="s">
        <v>90</v>
      </c>
    </row>
    <row r="5" spans="1:6" ht="27.6">
      <c r="A5" s="90" t="s">
        <v>27</v>
      </c>
      <c r="B5" s="91" t="s">
        <v>148</v>
      </c>
      <c r="C5" s="92" t="s">
        <v>865</v>
      </c>
      <c r="D5" s="138" t="s">
        <v>177</v>
      </c>
    </row>
    <row r="6" spans="1:6">
      <c r="A6" s="444">
        <v>1</v>
      </c>
      <c r="B6" s="401" t="s">
        <v>850</v>
      </c>
      <c r="C6" s="480">
        <f>SUM(C7:C9)</f>
        <v>333335179.19999999</v>
      </c>
      <c r="D6" s="85"/>
      <c r="E6" s="4"/>
    </row>
    <row r="7" spans="1:6">
      <c r="A7" s="444">
        <v>1.1000000000000001</v>
      </c>
      <c r="B7" s="404" t="s">
        <v>99</v>
      </c>
      <c r="C7" s="473">
        <v>79502541.689999998</v>
      </c>
      <c r="D7" s="86"/>
      <c r="E7" s="4"/>
    </row>
    <row r="8" spans="1:6">
      <c r="A8" s="444">
        <v>1.2</v>
      </c>
      <c r="B8" s="404" t="s">
        <v>100</v>
      </c>
      <c r="C8" s="473">
        <v>190236710.34999996</v>
      </c>
      <c r="D8" s="86"/>
      <c r="E8" s="4"/>
    </row>
    <row r="9" spans="1:6">
      <c r="A9" s="444">
        <v>1.3</v>
      </c>
      <c r="B9" s="404" t="s">
        <v>101</v>
      </c>
      <c r="C9" s="473">
        <v>63595927.160000004</v>
      </c>
      <c r="D9" s="86"/>
      <c r="E9" s="4"/>
    </row>
    <row r="10" spans="1:6">
      <c r="A10" s="444">
        <v>2</v>
      </c>
      <c r="B10" s="405" t="s">
        <v>737</v>
      </c>
      <c r="C10" s="482"/>
      <c r="D10" s="86"/>
      <c r="E10" s="4"/>
    </row>
    <row r="11" spans="1:6">
      <c r="A11" s="444">
        <v>2.1</v>
      </c>
      <c r="B11" s="406" t="s">
        <v>738</v>
      </c>
      <c r="C11" s="474"/>
      <c r="D11" s="87"/>
      <c r="E11" s="5"/>
    </row>
    <row r="12" spans="1:6" ht="23.55" customHeight="1">
      <c r="A12" s="444">
        <v>3</v>
      </c>
      <c r="B12" s="407" t="s">
        <v>739</v>
      </c>
      <c r="C12" s="481"/>
      <c r="D12" s="87"/>
      <c r="E12" s="5"/>
    </row>
    <row r="13" spans="1:6" ht="22.95" customHeight="1">
      <c r="A13" s="444">
        <v>4</v>
      </c>
      <c r="B13" s="408" t="s">
        <v>740</v>
      </c>
      <c r="C13" s="481">
        <v>690577.37</v>
      </c>
      <c r="D13" s="87"/>
      <c r="E13" s="5"/>
    </row>
    <row r="14" spans="1:6">
      <c r="A14" s="444">
        <v>5</v>
      </c>
      <c r="B14" s="408" t="s">
        <v>741</v>
      </c>
      <c r="C14" s="481">
        <f>SUM(C15:C17)</f>
        <v>0</v>
      </c>
      <c r="D14" s="87"/>
      <c r="E14" s="5"/>
    </row>
    <row r="15" spans="1:6">
      <c r="A15" s="444">
        <v>5.0999999999999996</v>
      </c>
      <c r="B15" s="409" t="s">
        <v>742</v>
      </c>
      <c r="C15" s="473"/>
      <c r="D15" s="87"/>
      <c r="E15" s="4"/>
    </row>
    <row r="16" spans="1:6">
      <c r="A16" s="444">
        <v>5.2</v>
      </c>
      <c r="B16" s="409" t="s">
        <v>573</v>
      </c>
      <c r="C16" s="473"/>
      <c r="D16" s="86"/>
      <c r="E16" s="4"/>
    </row>
    <row r="17" spans="1:5">
      <c r="A17" s="444">
        <v>5.3</v>
      </c>
      <c r="B17" s="409" t="s">
        <v>743</v>
      </c>
      <c r="C17" s="473"/>
      <c r="D17" s="86"/>
      <c r="E17" s="4"/>
    </row>
    <row r="18" spans="1:5">
      <c r="A18" s="444">
        <v>6</v>
      </c>
      <c r="B18" s="407" t="s">
        <v>744</v>
      </c>
      <c r="C18" s="482">
        <f>SUM(C19:C20)</f>
        <v>2064352987.1609352</v>
      </c>
      <c r="D18" s="86"/>
      <c r="E18" s="4"/>
    </row>
    <row r="19" spans="1:5">
      <c r="A19" s="444">
        <v>6.1</v>
      </c>
      <c r="B19" s="409" t="s">
        <v>573</v>
      </c>
      <c r="C19" s="474">
        <v>22367209.940000001</v>
      </c>
      <c r="D19" s="86"/>
      <c r="E19" s="4"/>
    </row>
    <row r="20" spans="1:5">
      <c r="A20" s="444">
        <v>6.2</v>
      </c>
      <c r="B20" s="409" t="s">
        <v>743</v>
      </c>
      <c r="C20" s="474">
        <v>2041985777.2209351</v>
      </c>
      <c r="D20" s="86"/>
      <c r="E20" s="4"/>
    </row>
    <row r="21" spans="1:5">
      <c r="A21" s="444">
        <v>7</v>
      </c>
      <c r="B21" s="410" t="s">
        <v>745</v>
      </c>
      <c r="C21" s="481"/>
      <c r="D21" s="86"/>
      <c r="E21" s="4"/>
    </row>
    <row r="22" spans="1:5">
      <c r="A22" s="444">
        <v>8</v>
      </c>
      <c r="B22" s="411" t="s">
        <v>746</v>
      </c>
      <c r="C22" s="482"/>
      <c r="D22" s="86"/>
      <c r="E22" s="4"/>
    </row>
    <row r="23" spans="1:5">
      <c r="A23" s="444">
        <v>9</v>
      </c>
      <c r="B23" s="408" t="s">
        <v>747</v>
      </c>
      <c r="C23" s="482">
        <f>SUM(C24:C25)</f>
        <v>45329946.490000002</v>
      </c>
      <c r="D23" s="472"/>
      <c r="E23" s="4"/>
    </row>
    <row r="24" spans="1:5">
      <c r="A24" s="444">
        <v>9.1</v>
      </c>
      <c r="B24" s="412" t="s">
        <v>748</v>
      </c>
      <c r="C24" s="475">
        <v>45329946.490000002</v>
      </c>
      <c r="D24" s="88"/>
      <c r="E24" s="4"/>
    </row>
    <row r="25" spans="1:5">
      <c r="A25" s="444">
        <v>9.1999999999999993</v>
      </c>
      <c r="B25" s="412" t="s">
        <v>749</v>
      </c>
      <c r="C25" s="476"/>
      <c r="D25" s="471"/>
      <c r="E25" s="3"/>
    </row>
    <row r="26" spans="1:5">
      <c r="A26" s="444">
        <v>10</v>
      </c>
      <c r="B26" s="408" t="s">
        <v>38</v>
      </c>
      <c r="C26" s="483">
        <f>SUM(C27:C28)</f>
        <v>23157935.830000002</v>
      </c>
      <c r="D26" s="615" t="s">
        <v>949</v>
      </c>
      <c r="E26" s="4"/>
    </row>
    <row r="27" spans="1:5">
      <c r="A27" s="444">
        <v>10.1</v>
      </c>
      <c r="B27" s="412" t="s">
        <v>750</v>
      </c>
      <c r="C27" s="473"/>
      <c r="D27" s="86"/>
      <c r="E27" s="4"/>
    </row>
    <row r="28" spans="1:5">
      <c r="A28" s="444">
        <v>10.199999999999999</v>
      </c>
      <c r="B28" s="412" t="s">
        <v>751</v>
      </c>
      <c r="C28" s="473">
        <v>23157935.830000002</v>
      </c>
      <c r="D28" s="86"/>
      <c r="E28" s="4"/>
    </row>
    <row r="29" spans="1:5">
      <c r="A29" s="444">
        <v>11</v>
      </c>
      <c r="B29" s="408" t="s">
        <v>752</v>
      </c>
      <c r="C29" s="482">
        <f>SUM(C30:C31)</f>
        <v>0</v>
      </c>
      <c r="D29" s="86"/>
      <c r="E29" s="4"/>
    </row>
    <row r="30" spans="1:5">
      <c r="A30" s="444">
        <v>11.1</v>
      </c>
      <c r="B30" s="412" t="s">
        <v>753</v>
      </c>
      <c r="C30" s="473"/>
      <c r="D30" s="86"/>
      <c r="E30" s="4"/>
    </row>
    <row r="31" spans="1:5">
      <c r="A31" s="444">
        <v>11.2</v>
      </c>
      <c r="B31" s="412" t="s">
        <v>754</v>
      </c>
      <c r="C31" s="473"/>
      <c r="D31" s="86"/>
      <c r="E31" s="4"/>
    </row>
    <row r="32" spans="1:5">
      <c r="A32" s="444">
        <v>13</v>
      </c>
      <c r="B32" s="408" t="s">
        <v>102</v>
      </c>
      <c r="C32" s="482">
        <v>42959333.080000013</v>
      </c>
      <c r="D32" s="86"/>
      <c r="E32" s="4"/>
    </row>
    <row r="33" spans="1:5">
      <c r="A33" s="444">
        <v>13.1</v>
      </c>
      <c r="B33" s="413" t="s">
        <v>755</v>
      </c>
      <c r="C33" s="473">
        <v>14614563.279999999</v>
      </c>
      <c r="D33" s="86"/>
      <c r="E33" s="4"/>
    </row>
    <row r="34" spans="1:5">
      <c r="A34" s="444">
        <v>13.2</v>
      </c>
      <c r="B34" s="413" t="s">
        <v>756</v>
      </c>
      <c r="C34" s="475"/>
      <c r="D34" s="88"/>
      <c r="E34" s="4"/>
    </row>
    <row r="35" spans="1:5">
      <c r="A35" s="444">
        <v>14</v>
      </c>
      <c r="B35" s="414" t="s">
        <v>757</v>
      </c>
      <c r="C35" s="484">
        <f>SUM(C6,C10,C12,C13,C14,C18,C21,C22,C23,C26,C29,C32)</f>
        <v>2509825959.1309347</v>
      </c>
      <c r="D35" s="88"/>
      <c r="E35" s="4"/>
    </row>
    <row r="36" spans="1:5">
      <c r="A36" s="444"/>
      <c r="B36" s="415" t="s">
        <v>107</v>
      </c>
      <c r="C36" s="177"/>
      <c r="D36" s="89"/>
      <c r="E36" s="4"/>
    </row>
    <row r="37" spans="1:5">
      <c r="A37" s="444">
        <v>15</v>
      </c>
      <c r="B37" s="416" t="s">
        <v>758</v>
      </c>
      <c r="C37" s="476"/>
      <c r="D37" s="471"/>
      <c r="E37" s="3"/>
    </row>
    <row r="38" spans="1:5">
      <c r="A38" s="444">
        <v>15.1</v>
      </c>
      <c r="B38" s="419" t="s">
        <v>738</v>
      </c>
      <c r="C38" s="473"/>
      <c r="D38" s="86"/>
      <c r="E38" s="4"/>
    </row>
    <row r="39" spans="1:5" ht="20.399999999999999">
      <c r="A39" s="444">
        <v>16</v>
      </c>
      <c r="B39" s="410" t="s">
        <v>759</v>
      </c>
      <c r="C39" s="482">
        <v>1268249.3600000001</v>
      </c>
      <c r="D39" s="86"/>
      <c r="E39" s="4"/>
    </row>
    <row r="40" spans="1:5">
      <c r="A40" s="444">
        <v>17</v>
      </c>
      <c r="B40" s="410" t="s">
        <v>760</v>
      </c>
      <c r="C40" s="482">
        <f>SUM(C41:C44)</f>
        <v>2013899594.8029044</v>
      </c>
      <c r="D40" s="86"/>
      <c r="E40" s="4"/>
    </row>
    <row r="41" spans="1:5">
      <c r="A41" s="444">
        <v>17.100000000000001</v>
      </c>
      <c r="B41" s="420" t="s">
        <v>761</v>
      </c>
      <c r="C41" s="473">
        <v>935464980.76290452</v>
      </c>
      <c r="D41" s="86"/>
      <c r="E41" s="4"/>
    </row>
    <row r="42" spans="1:5">
      <c r="A42" s="463">
        <v>17.2</v>
      </c>
      <c r="B42" s="464" t="s">
        <v>103</v>
      </c>
      <c r="C42" s="475">
        <v>1057474793.4699999</v>
      </c>
      <c r="D42" s="88"/>
      <c r="E42" s="4"/>
    </row>
    <row r="43" spans="1:5">
      <c r="A43" s="444">
        <v>17.3</v>
      </c>
      <c r="B43" s="465" t="s">
        <v>762</v>
      </c>
      <c r="C43" s="477"/>
      <c r="D43" s="466"/>
      <c r="E43" s="4"/>
    </row>
    <row r="44" spans="1:5">
      <c r="A44" s="444">
        <v>17.399999999999999</v>
      </c>
      <c r="B44" s="465" t="s">
        <v>763</v>
      </c>
      <c r="C44" s="477">
        <v>20959820.57</v>
      </c>
      <c r="D44" s="466"/>
      <c r="E44" s="4"/>
    </row>
    <row r="45" spans="1:5">
      <c r="A45" s="444">
        <v>18</v>
      </c>
      <c r="B45" s="428" t="s">
        <v>764</v>
      </c>
      <c r="C45" s="485"/>
      <c r="D45" s="466"/>
      <c r="E45" s="3"/>
    </row>
    <row r="46" spans="1:5">
      <c r="A46" s="444">
        <v>19</v>
      </c>
      <c r="B46" s="428" t="s">
        <v>765</v>
      </c>
      <c r="C46" s="482">
        <f>SUM(C47:C48)</f>
        <v>5689316.4899999956</v>
      </c>
      <c r="D46" s="467"/>
    </row>
    <row r="47" spans="1:5">
      <c r="A47" s="444">
        <v>19.100000000000001</v>
      </c>
      <c r="B47" s="468" t="s">
        <v>766</v>
      </c>
      <c r="C47" s="473">
        <v>588722.64999999665</v>
      </c>
      <c r="D47" s="467"/>
    </row>
    <row r="48" spans="1:5">
      <c r="A48" s="444">
        <v>19.2</v>
      </c>
      <c r="B48" s="468" t="s">
        <v>767</v>
      </c>
      <c r="C48" s="473">
        <v>5100593.8399999989</v>
      </c>
      <c r="D48" s="467"/>
    </row>
    <row r="49" spans="1:4">
      <c r="A49" s="444">
        <v>20</v>
      </c>
      <c r="B49" s="424" t="s">
        <v>104</v>
      </c>
      <c r="C49" s="482">
        <v>127553521.77000001</v>
      </c>
      <c r="D49" s="467"/>
    </row>
    <row r="50" spans="1:4">
      <c r="A50" s="444">
        <v>21</v>
      </c>
      <c r="B50" s="425" t="s">
        <v>92</v>
      </c>
      <c r="C50" s="482">
        <v>43497312.07</v>
      </c>
      <c r="D50" s="467"/>
    </row>
    <row r="51" spans="1:4">
      <c r="A51" s="444">
        <v>21.1</v>
      </c>
      <c r="B51" s="421" t="s">
        <v>768</v>
      </c>
      <c r="C51" s="478"/>
      <c r="D51" s="467"/>
    </row>
    <row r="52" spans="1:4">
      <c r="A52" s="444">
        <v>22</v>
      </c>
      <c r="B52" s="424" t="s">
        <v>769</v>
      </c>
      <c r="C52" s="482">
        <f>SUM(C37,C39,C40,C45,C46,C49,C50)</f>
        <v>2191907994.4929047</v>
      </c>
      <c r="D52" s="467"/>
    </row>
    <row r="53" spans="1:4">
      <c r="A53" s="444"/>
      <c r="B53" s="426" t="s">
        <v>770</v>
      </c>
      <c r="C53" s="467"/>
      <c r="D53" s="467"/>
    </row>
    <row r="54" spans="1:4">
      <c r="A54" s="444">
        <v>23</v>
      </c>
      <c r="B54" s="424" t="s">
        <v>108</v>
      </c>
      <c r="C54" s="482">
        <v>5210230</v>
      </c>
      <c r="D54" s="467"/>
    </row>
    <row r="55" spans="1:4">
      <c r="A55" s="444">
        <v>24</v>
      </c>
      <c r="B55" s="424" t="s">
        <v>771</v>
      </c>
      <c r="C55" s="486"/>
      <c r="D55" s="467"/>
    </row>
    <row r="56" spans="1:4">
      <c r="A56" s="444">
        <v>25</v>
      </c>
      <c r="B56" s="424" t="s">
        <v>105</v>
      </c>
      <c r="C56" s="482">
        <v>37102057.82</v>
      </c>
      <c r="D56" s="467"/>
    </row>
    <row r="57" spans="1:4">
      <c r="A57" s="444">
        <v>26</v>
      </c>
      <c r="B57" s="428" t="s">
        <v>772</v>
      </c>
      <c r="C57" s="486"/>
      <c r="D57" s="467"/>
    </row>
    <row r="58" spans="1:4">
      <c r="A58" s="444">
        <v>27</v>
      </c>
      <c r="B58" s="428" t="s">
        <v>773</v>
      </c>
      <c r="C58" s="486">
        <f>SUM(C59:C60)</f>
        <v>0</v>
      </c>
      <c r="D58" s="467"/>
    </row>
    <row r="59" spans="1:4">
      <c r="A59" s="444">
        <v>27.1</v>
      </c>
      <c r="B59" s="468" t="s">
        <v>774</v>
      </c>
      <c r="C59" s="479"/>
      <c r="D59" s="467"/>
    </row>
    <row r="60" spans="1:4">
      <c r="A60" s="444">
        <v>27.2</v>
      </c>
      <c r="B60" s="465" t="s">
        <v>775</v>
      </c>
      <c r="C60" s="479"/>
      <c r="D60" s="467"/>
    </row>
    <row r="61" spans="1:4">
      <c r="A61" s="444">
        <v>28</v>
      </c>
      <c r="B61" s="425" t="s">
        <v>776</v>
      </c>
      <c r="C61" s="486"/>
      <c r="D61" s="467"/>
    </row>
    <row r="62" spans="1:4">
      <c r="A62" s="444">
        <v>29</v>
      </c>
      <c r="B62" s="428" t="s">
        <v>777</v>
      </c>
      <c r="C62" s="486">
        <f>SUM(C63:C65)</f>
        <v>0</v>
      </c>
      <c r="D62" s="467"/>
    </row>
    <row r="63" spans="1:4">
      <c r="A63" s="444">
        <v>29.1</v>
      </c>
      <c r="B63" s="469" t="s">
        <v>778</v>
      </c>
      <c r="C63" s="479"/>
      <c r="D63" s="467"/>
    </row>
    <row r="64" spans="1:4" ht="24" customHeight="1">
      <c r="A64" s="444">
        <v>29.2</v>
      </c>
      <c r="B64" s="468" t="s">
        <v>779</v>
      </c>
      <c r="C64" s="479"/>
      <c r="D64" s="467"/>
    </row>
    <row r="65" spans="1:4" ht="22.05" customHeight="1">
      <c r="A65" s="444">
        <v>29.3</v>
      </c>
      <c r="B65" s="470" t="s">
        <v>780</v>
      </c>
      <c r="C65" s="479"/>
      <c r="D65" s="467"/>
    </row>
    <row r="66" spans="1:4">
      <c r="A66" s="444">
        <v>30</v>
      </c>
      <c r="B66" s="428" t="s">
        <v>106</v>
      </c>
      <c r="C66" s="482">
        <v>275605678.41000676</v>
      </c>
      <c r="D66" s="467"/>
    </row>
    <row r="67" spans="1:4">
      <c r="A67" s="444">
        <v>31</v>
      </c>
      <c r="B67" s="427" t="s">
        <v>781</v>
      </c>
      <c r="C67" s="482">
        <f>SUM(C54,C55,C56,C57,C58,C61,C62,C66)</f>
        <v>317917966.23000675</v>
      </c>
      <c r="D67" s="467"/>
    </row>
    <row r="68" spans="1:4">
      <c r="A68" s="444">
        <v>32</v>
      </c>
      <c r="B68" s="428" t="s">
        <v>782</v>
      </c>
      <c r="C68" s="482">
        <f>SUM(C52,C67)</f>
        <v>2509825960.7229114</v>
      </c>
      <c r="D68" s="46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0" zoomScaleNormal="80" workbookViewId="0">
      <pane xSplit="2" ySplit="7" topLeftCell="G8" activePane="bottomRight" state="frozen"/>
      <selection pane="topRight" activeCell="C1" sqref="C1"/>
      <selection pane="bottomLeft" activeCell="A8" sqref="A8"/>
      <selection pane="bottomRight" activeCell="C8" sqref="C8:R21"/>
    </sheetView>
  </sheetViews>
  <sheetFormatPr defaultColWidth="9.21875" defaultRowHeight="13.8"/>
  <cols>
    <col min="1" max="1" width="10.5546875" style="1" bestFit="1" customWidth="1"/>
    <col min="2" max="2" width="61.77734375" style="1" customWidth="1"/>
    <col min="3" max="3" width="11.33203125" style="1" bestFit="1" customWidth="1"/>
    <col min="4" max="4" width="13.21875" style="1" bestFit="1" customWidth="1"/>
    <col min="5" max="5" width="10.33203125" style="1" bestFit="1" customWidth="1"/>
    <col min="6" max="6" width="13.21875" style="1" bestFit="1" customWidth="1"/>
    <col min="7" max="7" width="11.33203125" style="1" bestFit="1" customWidth="1"/>
    <col min="8" max="8" width="13.21875" style="1" bestFit="1" customWidth="1"/>
    <col min="9" max="9" width="10.332031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111</v>
      </c>
      <c r="B1" s="1" t="str">
        <f>Info!C2</f>
        <v>სს "კრედო ბანკი"</v>
      </c>
    </row>
    <row r="2" spans="1:19">
      <c r="A2" s="1" t="s">
        <v>112</v>
      </c>
      <c r="B2" s="338">
        <f>'1. key ratios'!B2</f>
        <v>45382</v>
      </c>
    </row>
    <row r="4" spans="1:19" ht="42" thickBot="1">
      <c r="A4" s="31" t="s">
        <v>263</v>
      </c>
      <c r="B4" s="201" t="s">
        <v>298</v>
      </c>
    </row>
    <row r="5" spans="1:19">
      <c r="A5" s="75"/>
      <c r="B5" s="77"/>
      <c r="C5" s="69" t="s">
        <v>0</v>
      </c>
      <c r="D5" s="69" t="s">
        <v>1</v>
      </c>
      <c r="E5" s="69" t="s">
        <v>2</v>
      </c>
      <c r="F5" s="69" t="s">
        <v>3</v>
      </c>
      <c r="G5" s="69" t="s">
        <v>4</v>
      </c>
      <c r="H5" s="69" t="s">
        <v>6</v>
      </c>
      <c r="I5" s="69" t="s">
        <v>149</v>
      </c>
      <c r="J5" s="69" t="s">
        <v>150</v>
      </c>
      <c r="K5" s="69" t="s">
        <v>151</v>
      </c>
      <c r="L5" s="69" t="s">
        <v>152</v>
      </c>
      <c r="M5" s="69" t="s">
        <v>153</v>
      </c>
      <c r="N5" s="69" t="s">
        <v>154</v>
      </c>
      <c r="O5" s="69" t="s">
        <v>285</v>
      </c>
      <c r="P5" s="69" t="s">
        <v>286</v>
      </c>
      <c r="Q5" s="69" t="s">
        <v>287</v>
      </c>
      <c r="R5" s="194" t="s">
        <v>288</v>
      </c>
      <c r="S5" s="70" t="s">
        <v>289</v>
      </c>
    </row>
    <row r="6" spans="1:19" ht="46.5" customHeight="1">
      <c r="A6" s="93"/>
      <c r="B6" s="799" t="s">
        <v>290</v>
      </c>
      <c r="C6" s="797">
        <v>0</v>
      </c>
      <c r="D6" s="798"/>
      <c r="E6" s="797">
        <v>0.2</v>
      </c>
      <c r="F6" s="798"/>
      <c r="G6" s="797">
        <v>0.35</v>
      </c>
      <c r="H6" s="798"/>
      <c r="I6" s="797">
        <v>0.5</v>
      </c>
      <c r="J6" s="798"/>
      <c r="K6" s="797">
        <v>0.75</v>
      </c>
      <c r="L6" s="798"/>
      <c r="M6" s="797">
        <v>1</v>
      </c>
      <c r="N6" s="798"/>
      <c r="O6" s="797">
        <v>1.5</v>
      </c>
      <c r="P6" s="798"/>
      <c r="Q6" s="797">
        <v>2.5</v>
      </c>
      <c r="R6" s="798"/>
      <c r="S6" s="795" t="s">
        <v>160</v>
      </c>
    </row>
    <row r="7" spans="1:19">
      <c r="A7" s="93"/>
      <c r="B7" s="800"/>
      <c r="C7" s="200" t="s">
        <v>283</v>
      </c>
      <c r="D7" s="200" t="s">
        <v>284</v>
      </c>
      <c r="E7" s="200" t="s">
        <v>283</v>
      </c>
      <c r="F7" s="200" t="s">
        <v>284</v>
      </c>
      <c r="G7" s="200" t="s">
        <v>283</v>
      </c>
      <c r="H7" s="200" t="s">
        <v>284</v>
      </c>
      <c r="I7" s="200" t="s">
        <v>283</v>
      </c>
      <c r="J7" s="200" t="s">
        <v>284</v>
      </c>
      <c r="K7" s="200" t="s">
        <v>283</v>
      </c>
      <c r="L7" s="200" t="s">
        <v>284</v>
      </c>
      <c r="M7" s="200" t="s">
        <v>283</v>
      </c>
      <c r="N7" s="200" t="s">
        <v>284</v>
      </c>
      <c r="O7" s="200" t="s">
        <v>283</v>
      </c>
      <c r="P7" s="200" t="s">
        <v>284</v>
      </c>
      <c r="Q7" s="200" t="s">
        <v>283</v>
      </c>
      <c r="R7" s="200" t="s">
        <v>284</v>
      </c>
      <c r="S7" s="796"/>
    </row>
    <row r="8" spans="1:19">
      <c r="A8" s="73">
        <v>1</v>
      </c>
      <c r="B8" s="114" t="s">
        <v>137</v>
      </c>
      <c r="C8" s="178">
        <v>162159350.26999998</v>
      </c>
      <c r="D8" s="178"/>
      <c r="E8" s="178"/>
      <c r="F8" s="195"/>
      <c r="G8" s="178"/>
      <c r="H8" s="178"/>
      <c r="I8" s="178"/>
      <c r="J8" s="178"/>
      <c r="K8" s="178"/>
      <c r="L8" s="178"/>
      <c r="M8" s="178">
        <v>50444570.019999996</v>
      </c>
      <c r="N8" s="178"/>
      <c r="O8" s="178"/>
      <c r="P8" s="178"/>
      <c r="Q8" s="178"/>
      <c r="R8" s="195"/>
      <c r="S8" s="204">
        <f>$C$6*SUM(C8:D8)+$E$6*SUM(E8:F8)+$G$6*SUM(G8:H8)+$I$6*SUM(I8:J8)+$K$6*SUM(K8:L8)+$M$6*SUM(M8:N8)+$O$6*SUM(O8:P8)+$Q$6*SUM(Q8:R8)</f>
        <v>50444570.019999996</v>
      </c>
    </row>
    <row r="9" spans="1:19">
      <c r="A9" s="73">
        <v>2</v>
      </c>
      <c r="B9" s="114" t="s">
        <v>138</v>
      </c>
      <c r="C9" s="687">
        <v>0</v>
      </c>
      <c r="D9" s="178"/>
      <c r="E9" s="178"/>
      <c r="F9" s="178"/>
      <c r="G9" s="178"/>
      <c r="H9" s="178"/>
      <c r="I9" s="178"/>
      <c r="J9" s="178"/>
      <c r="K9" s="178"/>
      <c r="L9" s="178"/>
      <c r="M9" s="178"/>
      <c r="N9" s="178"/>
      <c r="O9" s="178"/>
      <c r="P9" s="178"/>
      <c r="Q9" s="178"/>
      <c r="R9" s="195"/>
      <c r="S9" s="204">
        <f t="shared" ref="S9:S21" si="0">$C$6*SUM(C9:D9)+$E$6*SUM(E9:F9)+$G$6*SUM(G9:H9)+$I$6*SUM(I9:J9)+$K$6*SUM(K9:L9)+$M$6*SUM(M9:N9)+$O$6*SUM(O9:P9)+$Q$6*SUM(Q9:R9)</f>
        <v>0</v>
      </c>
    </row>
    <row r="10" spans="1:19">
      <c r="A10" s="73">
        <v>3</v>
      </c>
      <c r="B10" s="114" t="s">
        <v>139</v>
      </c>
      <c r="C10" s="687">
        <v>0</v>
      </c>
      <c r="D10" s="178"/>
      <c r="E10" s="178"/>
      <c r="F10" s="178"/>
      <c r="G10" s="178"/>
      <c r="H10" s="178"/>
      <c r="I10" s="178"/>
      <c r="J10" s="178"/>
      <c r="K10" s="178"/>
      <c r="L10" s="178"/>
      <c r="M10" s="178"/>
      <c r="N10" s="178"/>
      <c r="O10" s="178"/>
      <c r="P10" s="178"/>
      <c r="Q10" s="178"/>
      <c r="R10" s="195"/>
      <c r="S10" s="204">
        <f t="shared" si="0"/>
        <v>0</v>
      </c>
    </row>
    <row r="11" spans="1:19">
      <c r="A11" s="73">
        <v>4</v>
      </c>
      <c r="B11" s="114" t="s">
        <v>140</v>
      </c>
      <c r="C11" s="687">
        <v>0</v>
      </c>
      <c r="D11" s="178"/>
      <c r="E11" s="178"/>
      <c r="F11" s="178"/>
      <c r="G11" s="178"/>
      <c r="H11" s="178"/>
      <c r="I11" s="178"/>
      <c r="J11" s="178"/>
      <c r="K11" s="178"/>
      <c r="L11" s="178"/>
      <c r="M11" s="178"/>
      <c r="N11" s="178"/>
      <c r="O11" s="178"/>
      <c r="P11" s="178"/>
      <c r="Q11" s="178"/>
      <c r="R11" s="195"/>
      <c r="S11" s="204">
        <f t="shared" si="0"/>
        <v>0</v>
      </c>
    </row>
    <row r="12" spans="1:19">
      <c r="A12" s="73">
        <v>5</v>
      </c>
      <c r="B12" s="114" t="s">
        <v>141</v>
      </c>
      <c r="C12" s="687">
        <v>0</v>
      </c>
      <c r="D12" s="178"/>
      <c r="E12" s="178"/>
      <c r="F12" s="178"/>
      <c r="G12" s="178"/>
      <c r="H12" s="178"/>
      <c r="I12" s="178"/>
      <c r="J12" s="178"/>
      <c r="K12" s="178"/>
      <c r="L12" s="178"/>
      <c r="M12" s="178"/>
      <c r="N12" s="178"/>
      <c r="O12" s="178"/>
      <c r="P12" s="178"/>
      <c r="Q12" s="178"/>
      <c r="R12" s="195"/>
      <c r="S12" s="204">
        <f t="shared" si="0"/>
        <v>0</v>
      </c>
    </row>
    <row r="13" spans="1:19">
      <c r="A13" s="73">
        <v>6</v>
      </c>
      <c r="B13" s="114" t="s">
        <v>142</v>
      </c>
      <c r="C13" s="687">
        <v>0</v>
      </c>
      <c r="D13" s="178"/>
      <c r="E13" s="178">
        <v>34420306.189999998</v>
      </c>
      <c r="F13" s="178"/>
      <c r="G13" s="178"/>
      <c r="H13" s="178"/>
      <c r="I13" s="178">
        <v>29117987.710000001</v>
      </c>
      <c r="J13" s="178"/>
      <c r="K13" s="178"/>
      <c r="L13" s="178"/>
      <c r="M13" s="178">
        <v>44316.260000001639</v>
      </c>
      <c r="N13" s="178"/>
      <c r="O13" s="178">
        <v>13317</v>
      </c>
      <c r="P13" s="178"/>
      <c r="Q13" s="178"/>
      <c r="R13" s="195"/>
      <c r="S13" s="204">
        <f t="shared" si="0"/>
        <v>21507346.853000004</v>
      </c>
    </row>
    <row r="14" spans="1:19">
      <c r="A14" s="73">
        <v>7</v>
      </c>
      <c r="B14" s="114" t="s">
        <v>73</v>
      </c>
      <c r="C14" s="687"/>
      <c r="D14" s="178"/>
      <c r="E14" s="178"/>
      <c r="F14" s="178"/>
      <c r="G14" s="178"/>
      <c r="H14" s="178"/>
      <c r="I14" s="178"/>
      <c r="J14" s="178"/>
      <c r="K14" s="178"/>
      <c r="L14" s="178"/>
      <c r="M14" s="178">
        <v>33896995.002156951</v>
      </c>
      <c r="N14" s="178">
        <v>2629265.15</v>
      </c>
      <c r="O14" s="178"/>
      <c r="P14" s="178"/>
      <c r="Q14" s="178"/>
      <c r="R14" s="195"/>
      <c r="S14" s="204">
        <f t="shared" si="0"/>
        <v>36526260.152156949</v>
      </c>
    </row>
    <row r="15" spans="1:19">
      <c r="A15" s="73">
        <v>8</v>
      </c>
      <c r="B15" s="114" t="s">
        <v>74</v>
      </c>
      <c r="C15" s="687"/>
      <c r="D15" s="178"/>
      <c r="E15" s="178"/>
      <c r="F15" s="178"/>
      <c r="G15" s="178"/>
      <c r="H15" s="178"/>
      <c r="I15" s="178" t="s">
        <v>5</v>
      </c>
      <c r="J15" s="178"/>
      <c r="K15" s="178">
        <v>1902398995.3639195</v>
      </c>
      <c r="L15" s="178">
        <v>29412064.395000003</v>
      </c>
      <c r="M15" s="178"/>
      <c r="N15" s="178"/>
      <c r="O15" s="178"/>
      <c r="P15" s="178"/>
      <c r="Q15" s="178"/>
      <c r="R15" s="195"/>
      <c r="S15" s="204">
        <f t="shared" si="0"/>
        <v>1448858294.8191895</v>
      </c>
    </row>
    <row r="16" spans="1:19">
      <c r="A16" s="73">
        <v>9</v>
      </c>
      <c r="B16" s="114" t="s">
        <v>75</v>
      </c>
      <c r="C16" s="687">
        <v>0</v>
      </c>
      <c r="D16" s="178"/>
      <c r="E16" s="178"/>
      <c r="F16" s="178"/>
      <c r="G16" s="178">
        <v>102453143.8789375</v>
      </c>
      <c r="H16" s="178"/>
      <c r="I16" s="178"/>
      <c r="J16" s="178"/>
      <c r="K16" s="178"/>
      <c r="L16" s="178"/>
      <c r="M16" s="178"/>
      <c r="N16" s="178"/>
      <c r="O16" s="178"/>
      <c r="P16" s="178"/>
      <c r="Q16" s="178"/>
      <c r="R16" s="195"/>
      <c r="S16" s="204">
        <f t="shared" si="0"/>
        <v>35858600.357628122</v>
      </c>
    </row>
    <row r="17" spans="1:19">
      <c r="A17" s="73">
        <v>10</v>
      </c>
      <c r="B17" s="114" t="s">
        <v>69</v>
      </c>
      <c r="C17" s="687"/>
      <c r="D17" s="178"/>
      <c r="E17" s="178"/>
      <c r="F17" s="178"/>
      <c r="G17" s="178"/>
      <c r="H17" s="178"/>
      <c r="I17" s="178">
        <v>4548.8999999999996</v>
      </c>
      <c r="J17" s="178"/>
      <c r="K17" s="178"/>
      <c r="L17" s="178"/>
      <c r="M17" s="178">
        <v>3232094.1</v>
      </c>
      <c r="N17" s="178"/>
      <c r="O17" s="178"/>
      <c r="P17" s="178"/>
      <c r="Q17" s="178"/>
      <c r="R17" s="195"/>
      <c r="S17" s="204">
        <f t="shared" si="0"/>
        <v>3234368.5500000003</v>
      </c>
    </row>
    <row r="18" spans="1:19">
      <c r="A18" s="73">
        <v>11</v>
      </c>
      <c r="B18" s="114" t="s">
        <v>70</v>
      </c>
      <c r="C18" s="687"/>
      <c r="D18" s="178"/>
      <c r="E18" s="178"/>
      <c r="F18" s="178"/>
      <c r="G18" s="178"/>
      <c r="H18" s="178"/>
      <c r="I18" s="178"/>
      <c r="J18" s="178"/>
      <c r="K18" s="178"/>
      <c r="L18" s="178"/>
      <c r="M18" s="178"/>
      <c r="N18" s="178"/>
      <c r="O18" s="178"/>
      <c r="P18" s="178"/>
      <c r="Q18" s="178"/>
      <c r="R18" s="195"/>
      <c r="S18" s="204">
        <f t="shared" si="0"/>
        <v>0</v>
      </c>
    </row>
    <row r="19" spans="1:19">
      <c r="A19" s="73">
        <v>12</v>
      </c>
      <c r="B19" s="114" t="s">
        <v>71</v>
      </c>
      <c r="C19" s="687"/>
      <c r="D19" s="178"/>
      <c r="E19" s="178"/>
      <c r="F19" s="178"/>
      <c r="G19" s="178"/>
      <c r="H19" s="178"/>
      <c r="I19" s="178"/>
      <c r="J19" s="178"/>
      <c r="K19" s="178"/>
      <c r="L19" s="178"/>
      <c r="M19" s="178"/>
      <c r="N19" s="178"/>
      <c r="O19" s="178"/>
      <c r="P19" s="178"/>
      <c r="Q19" s="178"/>
      <c r="R19" s="195"/>
      <c r="S19" s="204">
        <f t="shared" si="0"/>
        <v>0</v>
      </c>
    </row>
    <row r="20" spans="1:19">
      <c r="A20" s="73">
        <v>13</v>
      </c>
      <c r="B20" s="114" t="s">
        <v>72</v>
      </c>
      <c r="C20" s="687"/>
      <c r="D20" s="178"/>
      <c r="E20" s="178"/>
      <c r="F20" s="178"/>
      <c r="G20" s="178"/>
      <c r="H20" s="178"/>
      <c r="I20" s="178"/>
      <c r="J20" s="178"/>
      <c r="K20" s="178"/>
      <c r="L20" s="178"/>
      <c r="M20" s="178"/>
      <c r="N20" s="178"/>
      <c r="O20" s="178"/>
      <c r="P20" s="178"/>
      <c r="Q20" s="178"/>
      <c r="R20" s="195"/>
      <c r="S20" s="204">
        <f t="shared" si="0"/>
        <v>0</v>
      </c>
    </row>
    <row r="21" spans="1:19">
      <c r="A21" s="73">
        <v>14</v>
      </c>
      <c r="B21" s="114" t="s">
        <v>158</v>
      </c>
      <c r="C21" s="687">
        <v>79502541.689999998</v>
      </c>
      <c r="D21" s="178"/>
      <c r="E21" s="178"/>
      <c r="F21" s="178"/>
      <c r="G21" s="178"/>
      <c r="H21" s="178"/>
      <c r="I21" s="178"/>
      <c r="J21" s="178"/>
      <c r="K21" s="178"/>
      <c r="L21" s="178"/>
      <c r="M21" s="178">
        <v>88979856.940000027</v>
      </c>
      <c r="N21" s="178"/>
      <c r="O21" s="178"/>
      <c r="P21" s="178"/>
      <c r="Q21" s="178"/>
      <c r="R21" s="195"/>
      <c r="S21" s="204">
        <f t="shared" si="0"/>
        <v>88979856.940000027</v>
      </c>
    </row>
    <row r="22" spans="1:19" ht="14.4" thickBot="1">
      <c r="A22" s="56"/>
      <c r="B22" s="98" t="s">
        <v>68</v>
      </c>
      <c r="C22" s="179">
        <f>SUM(C8:C21)</f>
        <v>241661891.95999998</v>
      </c>
      <c r="D22" s="179">
        <f t="shared" ref="D22:S22" si="1">SUM(D8:D21)</f>
        <v>0</v>
      </c>
      <c r="E22" s="179">
        <f t="shared" si="1"/>
        <v>34420306.189999998</v>
      </c>
      <c r="F22" s="179">
        <f t="shared" si="1"/>
        <v>0</v>
      </c>
      <c r="G22" s="179">
        <f t="shared" si="1"/>
        <v>102453143.8789375</v>
      </c>
      <c r="H22" s="179">
        <f t="shared" si="1"/>
        <v>0</v>
      </c>
      <c r="I22" s="179">
        <f t="shared" si="1"/>
        <v>29122536.609999999</v>
      </c>
      <c r="J22" s="179">
        <f t="shared" si="1"/>
        <v>0</v>
      </c>
      <c r="K22" s="179">
        <f t="shared" si="1"/>
        <v>1902398995.3639195</v>
      </c>
      <c r="L22" s="179">
        <f t="shared" si="1"/>
        <v>29412064.395000003</v>
      </c>
      <c r="M22" s="179">
        <f t="shared" si="1"/>
        <v>176597832.32215697</v>
      </c>
      <c r="N22" s="179">
        <f t="shared" si="1"/>
        <v>2629265.15</v>
      </c>
      <c r="O22" s="179">
        <f t="shared" si="1"/>
        <v>13317</v>
      </c>
      <c r="P22" s="179">
        <f t="shared" si="1"/>
        <v>0</v>
      </c>
      <c r="Q22" s="179">
        <f t="shared" si="1"/>
        <v>0</v>
      </c>
      <c r="R22" s="179">
        <f t="shared" si="1"/>
        <v>0</v>
      </c>
      <c r="S22" s="688">
        <f t="shared" si="1"/>
        <v>1685409297.6919746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B2" sqref="B2"/>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111</v>
      </c>
      <c r="B1" s="1" t="str">
        <f>Info!C2</f>
        <v>სს "კრედო ბანკი"</v>
      </c>
    </row>
    <row r="2" spans="1:22">
      <c r="A2" s="1" t="s">
        <v>112</v>
      </c>
      <c r="B2" s="338">
        <f>'1. key ratios'!B2</f>
        <v>45382</v>
      </c>
    </row>
    <row r="4" spans="1:22" ht="28.2" thickBot="1">
      <c r="A4" s="1" t="s">
        <v>264</v>
      </c>
      <c r="B4" s="201" t="s">
        <v>299</v>
      </c>
      <c r="V4" s="139" t="s">
        <v>90</v>
      </c>
    </row>
    <row r="5" spans="1:22">
      <c r="A5" s="54"/>
      <c r="B5" s="55"/>
      <c r="C5" s="801" t="s">
        <v>119</v>
      </c>
      <c r="D5" s="802"/>
      <c r="E5" s="802"/>
      <c r="F5" s="802"/>
      <c r="G5" s="802"/>
      <c r="H5" s="802"/>
      <c r="I5" s="802"/>
      <c r="J5" s="802"/>
      <c r="K5" s="802"/>
      <c r="L5" s="803"/>
      <c r="M5" s="801" t="s">
        <v>120</v>
      </c>
      <c r="N5" s="802"/>
      <c r="O5" s="802"/>
      <c r="P5" s="802"/>
      <c r="Q5" s="802"/>
      <c r="R5" s="802"/>
      <c r="S5" s="803"/>
      <c r="T5" s="806" t="s">
        <v>297</v>
      </c>
      <c r="U5" s="806" t="s">
        <v>296</v>
      </c>
      <c r="V5" s="804" t="s">
        <v>121</v>
      </c>
    </row>
    <row r="6" spans="1:22" s="31" customFormat="1" ht="138">
      <c r="A6" s="71"/>
      <c r="B6" s="116"/>
      <c r="C6" s="52" t="s">
        <v>122</v>
      </c>
      <c r="D6" s="51" t="s">
        <v>123</v>
      </c>
      <c r="E6" s="49" t="s">
        <v>124</v>
      </c>
      <c r="F6" s="49" t="s">
        <v>291</v>
      </c>
      <c r="G6" s="51" t="s">
        <v>125</v>
      </c>
      <c r="H6" s="51" t="s">
        <v>126</v>
      </c>
      <c r="I6" s="51" t="s">
        <v>127</v>
      </c>
      <c r="J6" s="51" t="s">
        <v>157</v>
      </c>
      <c r="K6" s="51" t="s">
        <v>128</v>
      </c>
      <c r="L6" s="53" t="s">
        <v>129</v>
      </c>
      <c r="M6" s="52" t="s">
        <v>130</v>
      </c>
      <c r="N6" s="51" t="s">
        <v>131</v>
      </c>
      <c r="O6" s="51" t="s">
        <v>132</v>
      </c>
      <c r="P6" s="51" t="s">
        <v>133</v>
      </c>
      <c r="Q6" s="51" t="s">
        <v>134</v>
      </c>
      <c r="R6" s="51" t="s">
        <v>135</v>
      </c>
      <c r="S6" s="53" t="s">
        <v>136</v>
      </c>
      <c r="T6" s="807"/>
      <c r="U6" s="807"/>
      <c r="V6" s="805"/>
    </row>
    <row r="7" spans="1:22">
      <c r="A7" s="97">
        <v>1</v>
      </c>
      <c r="B7" s="96" t="s">
        <v>137</v>
      </c>
      <c r="C7" s="180"/>
      <c r="D7" s="178"/>
      <c r="E7" s="178"/>
      <c r="F7" s="178"/>
      <c r="G7" s="178"/>
      <c r="H7" s="178"/>
      <c r="I7" s="178"/>
      <c r="J7" s="178"/>
      <c r="K7" s="178"/>
      <c r="L7" s="181"/>
      <c r="M7" s="180"/>
      <c r="N7" s="178"/>
      <c r="O7" s="178"/>
      <c r="P7" s="178"/>
      <c r="Q7" s="178"/>
      <c r="R7" s="178"/>
      <c r="S7" s="181"/>
      <c r="T7" s="198"/>
      <c r="U7" s="197"/>
      <c r="V7" s="182">
        <f>SUM(C7:S7)</f>
        <v>0</v>
      </c>
    </row>
    <row r="8" spans="1:22">
      <c r="A8" s="97">
        <v>2</v>
      </c>
      <c r="B8" s="96" t="s">
        <v>138</v>
      </c>
      <c r="C8" s="180"/>
      <c r="D8" s="178"/>
      <c r="E8" s="178"/>
      <c r="F8" s="178"/>
      <c r="G8" s="178"/>
      <c r="H8" s="178"/>
      <c r="I8" s="178"/>
      <c r="J8" s="178"/>
      <c r="K8" s="178"/>
      <c r="L8" s="181"/>
      <c r="M8" s="180"/>
      <c r="N8" s="178"/>
      <c r="O8" s="178"/>
      <c r="P8" s="178"/>
      <c r="Q8" s="178"/>
      <c r="R8" s="178"/>
      <c r="S8" s="181"/>
      <c r="T8" s="197"/>
      <c r="U8" s="197"/>
      <c r="V8" s="182">
        <f t="shared" ref="V8:V20" si="0">SUM(C8:S8)</f>
        <v>0</v>
      </c>
    </row>
    <row r="9" spans="1:22">
      <c r="A9" s="97">
        <v>3</v>
      </c>
      <c r="B9" s="96" t="s">
        <v>139</v>
      </c>
      <c r="C9" s="180"/>
      <c r="D9" s="178"/>
      <c r="E9" s="178"/>
      <c r="F9" s="178"/>
      <c r="G9" s="178"/>
      <c r="H9" s="178"/>
      <c r="I9" s="178"/>
      <c r="J9" s="178"/>
      <c r="K9" s="178"/>
      <c r="L9" s="181"/>
      <c r="M9" s="180"/>
      <c r="N9" s="178"/>
      <c r="O9" s="178"/>
      <c r="P9" s="178"/>
      <c r="Q9" s="178"/>
      <c r="R9" s="178"/>
      <c r="S9" s="181"/>
      <c r="T9" s="197"/>
      <c r="U9" s="197"/>
      <c r="V9" s="182">
        <f>SUM(C9:S9)</f>
        <v>0</v>
      </c>
    </row>
    <row r="10" spans="1:22">
      <c r="A10" s="97">
        <v>4</v>
      </c>
      <c r="B10" s="96" t="s">
        <v>140</v>
      </c>
      <c r="C10" s="180"/>
      <c r="D10" s="178"/>
      <c r="E10" s="178"/>
      <c r="F10" s="178"/>
      <c r="G10" s="178"/>
      <c r="H10" s="178"/>
      <c r="I10" s="178"/>
      <c r="J10" s="178"/>
      <c r="K10" s="178"/>
      <c r="L10" s="181"/>
      <c r="M10" s="180"/>
      <c r="N10" s="178"/>
      <c r="O10" s="178"/>
      <c r="P10" s="178"/>
      <c r="Q10" s="178"/>
      <c r="R10" s="178"/>
      <c r="S10" s="181"/>
      <c r="T10" s="197"/>
      <c r="U10" s="197"/>
      <c r="V10" s="182">
        <f t="shared" si="0"/>
        <v>0</v>
      </c>
    </row>
    <row r="11" spans="1:22">
      <c r="A11" s="97">
        <v>5</v>
      </c>
      <c r="B11" s="96" t="s">
        <v>141</v>
      </c>
      <c r="C11" s="180"/>
      <c r="D11" s="178"/>
      <c r="E11" s="178"/>
      <c r="F11" s="178"/>
      <c r="G11" s="178"/>
      <c r="H11" s="178"/>
      <c r="I11" s="178"/>
      <c r="J11" s="178"/>
      <c r="K11" s="178"/>
      <c r="L11" s="181"/>
      <c r="M11" s="180"/>
      <c r="N11" s="178"/>
      <c r="O11" s="178"/>
      <c r="P11" s="178"/>
      <c r="Q11" s="178"/>
      <c r="R11" s="178"/>
      <c r="S11" s="181"/>
      <c r="T11" s="197"/>
      <c r="U11" s="197"/>
      <c r="V11" s="182">
        <f t="shared" si="0"/>
        <v>0</v>
      </c>
    </row>
    <row r="12" spans="1:22">
      <c r="A12" s="97">
        <v>6</v>
      </c>
      <c r="B12" s="96" t="s">
        <v>142</v>
      </c>
      <c r="C12" s="180"/>
      <c r="D12" s="178"/>
      <c r="E12" s="178"/>
      <c r="F12" s="178"/>
      <c r="G12" s="178"/>
      <c r="H12" s="178"/>
      <c r="I12" s="178"/>
      <c r="J12" s="178"/>
      <c r="K12" s="178"/>
      <c r="L12" s="181"/>
      <c r="M12" s="180"/>
      <c r="N12" s="178"/>
      <c r="O12" s="178"/>
      <c r="P12" s="178"/>
      <c r="Q12" s="178"/>
      <c r="R12" s="178"/>
      <c r="S12" s="181"/>
      <c r="T12" s="197"/>
      <c r="U12" s="197"/>
      <c r="V12" s="182">
        <f t="shared" si="0"/>
        <v>0</v>
      </c>
    </row>
    <row r="13" spans="1:22">
      <c r="A13" s="97">
        <v>7</v>
      </c>
      <c r="B13" s="96" t="s">
        <v>73</v>
      </c>
      <c r="C13" s="180"/>
      <c r="D13" s="178"/>
      <c r="E13" s="178"/>
      <c r="F13" s="178"/>
      <c r="G13" s="178"/>
      <c r="H13" s="178"/>
      <c r="I13" s="178"/>
      <c r="J13" s="178"/>
      <c r="K13" s="178"/>
      <c r="L13" s="181"/>
      <c r="M13" s="180"/>
      <c r="N13" s="178"/>
      <c r="O13" s="178"/>
      <c r="P13" s="178"/>
      <c r="Q13" s="178"/>
      <c r="R13" s="178"/>
      <c r="S13" s="181"/>
      <c r="T13" s="197"/>
      <c r="U13" s="197"/>
      <c r="V13" s="182">
        <f t="shared" si="0"/>
        <v>0</v>
      </c>
    </row>
    <row r="14" spans="1:22">
      <c r="A14" s="97">
        <v>8</v>
      </c>
      <c r="B14" s="96" t="s">
        <v>74</v>
      </c>
      <c r="C14" s="180"/>
      <c r="D14" s="178"/>
      <c r="E14" s="178"/>
      <c r="F14" s="178"/>
      <c r="G14" s="178"/>
      <c r="H14" s="178"/>
      <c r="I14" s="178"/>
      <c r="J14" s="178"/>
      <c r="K14" s="178"/>
      <c r="L14" s="181"/>
      <c r="M14" s="180"/>
      <c r="N14" s="178"/>
      <c r="O14" s="178"/>
      <c r="P14" s="178"/>
      <c r="Q14" s="178"/>
      <c r="R14" s="178"/>
      <c r="S14" s="181"/>
      <c r="T14" s="197"/>
      <c r="U14" s="197"/>
      <c r="V14" s="182">
        <f t="shared" si="0"/>
        <v>0</v>
      </c>
    </row>
    <row r="15" spans="1:22">
      <c r="A15" s="97">
        <v>9</v>
      </c>
      <c r="B15" s="96" t="s">
        <v>75</v>
      </c>
      <c r="C15" s="180"/>
      <c r="D15" s="178"/>
      <c r="E15" s="178"/>
      <c r="F15" s="178"/>
      <c r="G15" s="178"/>
      <c r="H15" s="178"/>
      <c r="I15" s="178"/>
      <c r="J15" s="178"/>
      <c r="K15" s="178"/>
      <c r="L15" s="181"/>
      <c r="M15" s="180"/>
      <c r="N15" s="178"/>
      <c r="O15" s="178"/>
      <c r="P15" s="178"/>
      <c r="Q15" s="178"/>
      <c r="R15" s="178"/>
      <c r="S15" s="181"/>
      <c r="T15" s="197"/>
      <c r="U15" s="197"/>
      <c r="V15" s="182">
        <f t="shared" si="0"/>
        <v>0</v>
      </c>
    </row>
    <row r="16" spans="1:22">
      <c r="A16" s="97">
        <v>10</v>
      </c>
      <c r="B16" s="96" t="s">
        <v>69</v>
      </c>
      <c r="C16" s="180"/>
      <c r="D16" s="178"/>
      <c r="E16" s="178"/>
      <c r="F16" s="178"/>
      <c r="G16" s="178"/>
      <c r="H16" s="178"/>
      <c r="I16" s="178"/>
      <c r="J16" s="178"/>
      <c r="K16" s="178"/>
      <c r="L16" s="181"/>
      <c r="M16" s="180"/>
      <c r="N16" s="178"/>
      <c r="O16" s="178"/>
      <c r="P16" s="178"/>
      <c r="Q16" s="178"/>
      <c r="R16" s="178"/>
      <c r="S16" s="181"/>
      <c r="T16" s="197"/>
      <c r="U16" s="197"/>
      <c r="V16" s="182">
        <f t="shared" si="0"/>
        <v>0</v>
      </c>
    </row>
    <row r="17" spans="1:22">
      <c r="A17" s="97">
        <v>11</v>
      </c>
      <c r="B17" s="96" t="s">
        <v>70</v>
      </c>
      <c r="C17" s="180"/>
      <c r="D17" s="178"/>
      <c r="E17" s="178"/>
      <c r="F17" s="178"/>
      <c r="G17" s="178"/>
      <c r="H17" s="178"/>
      <c r="I17" s="178"/>
      <c r="J17" s="178"/>
      <c r="K17" s="178"/>
      <c r="L17" s="181"/>
      <c r="M17" s="180"/>
      <c r="N17" s="178"/>
      <c r="O17" s="178"/>
      <c r="P17" s="178"/>
      <c r="Q17" s="178"/>
      <c r="R17" s="178"/>
      <c r="S17" s="181"/>
      <c r="T17" s="197"/>
      <c r="U17" s="197"/>
      <c r="V17" s="182">
        <f t="shared" si="0"/>
        <v>0</v>
      </c>
    </row>
    <row r="18" spans="1:22">
      <c r="A18" s="97">
        <v>12</v>
      </c>
      <c r="B18" s="96" t="s">
        <v>71</v>
      </c>
      <c r="C18" s="180"/>
      <c r="D18" s="178"/>
      <c r="E18" s="178"/>
      <c r="F18" s="178"/>
      <c r="G18" s="178"/>
      <c r="H18" s="178"/>
      <c r="I18" s="178"/>
      <c r="J18" s="178"/>
      <c r="K18" s="178"/>
      <c r="L18" s="181"/>
      <c r="M18" s="180"/>
      <c r="N18" s="178"/>
      <c r="O18" s="178"/>
      <c r="P18" s="178"/>
      <c r="Q18" s="178"/>
      <c r="R18" s="178"/>
      <c r="S18" s="181"/>
      <c r="T18" s="197"/>
      <c r="U18" s="197"/>
      <c r="V18" s="182">
        <f t="shared" si="0"/>
        <v>0</v>
      </c>
    </row>
    <row r="19" spans="1:22">
      <c r="A19" s="97">
        <v>13</v>
      </c>
      <c r="B19" s="96" t="s">
        <v>72</v>
      </c>
      <c r="C19" s="180"/>
      <c r="D19" s="178"/>
      <c r="E19" s="178"/>
      <c r="F19" s="178"/>
      <c r="G19" s="178"/>
      <c r="H19" s="178"/>
      <c r="I19" s="178"/>
      <c r="J19" s="178"/>
      <c r="K19" s="178"/>
      <c r="L19" s="181"/>
      <c r="M19" s="180"/>
      <c r="N19" s="178"/>
      <c r="O19" s="178"/>
      <c r="P19" s="178"/>
      <c r="Q19" s="178"/>
      <c r="R19" s="178"/>
      <c r="S19" s="181"/>
      <c r="T19" s="197"/>
      <c r="U19" s="197"/>
      <c r="V19" s="182">
        <f t="shared" si="0"/>
        <v>0</v>
      </c>
    </row>
    <row r="20" spans="1:22">
      <c r="A20" s="97">
        <v>14</v>
      </c>
      <c r="B20" s="96" t="s">
        <v>158</v>
      </c>
      <c r="C20" s="180"/>
      <c r="D20" s="178"/>
      <c r="E20" s="178"/>
      <c r="F20" s="178"/>
      <c r="G20" s="178"/>
      <c r="H20" s="178"/>
      <c r="I20" s="178"/>
      <c r="J20" s="178"/>
      <c r="K20" s="178"/>
      <c r="L20" s="181"/>
      <c r="M20" s="180"/>
      <c r="N20" s="178"/>
      <c r="O20" s="178"/>
      <c r="P20" s="178"/>
      <c r="Q20" s="178"/>
      <c r="R20" s="178"/>
      <c r="S20" s="181"/>
      <c r="T20" s="197"/>
      <c r="U20" s="197"/>
      <c r="V20" s="182">
        <f t="shared" si="0"/>
        <v>0</v>
      </c>
    </row>
    <row r="21" spans="1:22" ht="14.4" thickBot="1">
      <c r="A21" s="56"/>
      <c r="B21" s="57" t="s">
        <v>68</v>
      </c>
      <c r="C21" s="183">
        <f>SUM(C7:C20)</f>
        <v>0</v>
      </c>
      <c r="D21" s="179">
        <f t="shared" ref="D21:V21" si="1">SUM(D7:D20)</f>
        <v>0</v>
      </c>
      <c r="E21" s="179">
        <f t="shared" si="1"/>
        <v>0</v>
      </c>
      <c r="F21" s="179">
        <f t="shared" si="1"/>
        <v>0</v>
      </c>
      <c r="G21" s="179">
        <f t="shared" si="1"/>
        <v>0</v>
      </c>
      <c r="H21" s="179">
        <f t="shared" si="1"/>
        <v>0</v>
      </c>
      <c r="I21" s="179">
        <f t="shared" si="1"/>
        <v>0</v>
      </c>
      <c r="J21" s="179">
        <f t="shared" si="1"/>
        <v>0</v>
      </c>
      <c r="K21" s="179">
        <f t="shared" si="1"/>
        <v>0</v>
      </c>
      <c r="L21" s="184">
        <f t="shared" si="1"/>
        <v>0</v>
      </c>
      <c r="M21" s="183">
        <f t="shared" si="1"/>
        <v>0</v>
      </c>
      <c r="N21" s="179">
        <f t="shared" si="1"/>
        <v>0</v>
      </c>
      <c r="O21" s="179">
        <f t="shared" si="1"/>
        <v>0</v>
      </c>
      <c r="P21" s="179">
        <f t="shared" si="1"/>
        <v>0</v>
      </c>
      <c r="Q21" s="179">
        <f t="shared" si="1"/>
        <v>0</v>
      </c>
      <c r="R21" s="179">
        <f t="shared" si="1"/>
        <v>0</v>
      </c>
      <c r="S21" s="184">
        <f t="shared" si="1"/>
        <v>0</v>
      </c>
      <c r="T21" s="184">
        <f>SUM(T7:T20)</f>
        <v>0</v>
      </c>
      <c r="U21" s="184">
        <f t="shared" si="1"/>
        <v>0</v>
      </c>
      <c r="V21" s="185">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C8" sqref="C8:H21"/>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111</v>
      </c>
      <c r="B1" s="1" t="str">
        <f>Info!C2</f>
        <v>სს "კრედო ბანკი"</v>
      </c>
    </row>
    <row r="2" spans="1:9">
      <c r="A2" s="1" t="s">
        <v>112</v>
      </c>
      <c r="B2" s="338">
        <f>'1. key ratios'!B2</f>
        <v>45382</v>
      </c>
    </row>
    <row r="4" spans="1:9" ht="14.4" thickBot="1">
      <c r="A4" s="1" t="s">
        <v>265</v>
      </c>
      <c r="B4" s="23" t="s">
        <v>300</v>
      </c>
    </row>
    <row r="5" spans="1:9">
      <c r="A5" s="54"/>
      <c r="B5" s="94"/>
      <c r="C5" s="99" t="s">
        <v>0</v>
      </c>
      <c r="D5" s="99" t="s">
        <v>1</v>
      </c>
      <c r="E5" s="99" t="s">
        <v>2</v>
      </c>
      <c r="F5" s="99" t="s">
        <v>3</v>
      </c>
      <c r="G5" s="196" t="s">
        <v>4</v>
      </c>
      <c r="H5" s="100" t="s">
        <v>6</v>
      </c>
      <c r="I5" s="18"/>
    </row>
    <row r="6" spans="1:9" ht="15" customHeight="1">
      <c r="A6" s="93"/>
      <c r="B6" s="16"/>
      <c r="C6" s="799" t="s">
        <v>292</v>
      </c>
      <c r="D6" s="810" t="s">
        <v>313</v>
      </c>
      <c r="E6" s="811"/>
      <c r="F6" s="799" t="s">
        <v>319</v>
      </c>
      <c r="G6" s="799" t="s">
        <v>320</v>
      </c>
      <c r="H6" s="808" t="s">
        <v>294</v>
      </c>
      <c r="I6" s="18"/>
    </row>
    <row r="7" spans="1:9" ht="69">
      <c r="A7" s="93"/>
      <c r="B7" s="16"/>
      <c r="C7" s="800"/>
      <c r="D7" s="199" t="s">
        <v>295</v>
      </c>
      <c r="E7" s="199" t="s">
        <v>293</v>
      </c>
      <c r="F7" s="800"/>
      <c r="G7" s="800"/>
      <c r="H7" s="809"/>
      <c r="I7" s="18"/>
    </row>
    <row r="8" spans="1:9">
      <c r="A8" s="46">
        <v>1</v>
      </c>
      <c r="B8" s="36" t="s">
        <v>137</v>
      </c>
      <c r="C8" s="178">
        <v>212603920.28999996</v>
      </c>
      <c r="D8" s="178"/>
      <c r="E8" s="178"/>
      <c r="F8" s="178">
        <v>50444570.019999996</v>
      </c>
      <c r="G8" s="195">
        <v>50444570.019999996</v>
      </c>
      <c r="H8" s="202">
        <f>IFERROR(G8/(C8+E8),0)</f>
        <v>0.23727017804371459</v>
      </c>
    </row>
    <row r="9" spans="1:9" ht="15" customHeight="1">
      <c r="A9" s="46">
        <v>2</v>
      </c>
      <c r="B9" s="36" t="s">
        <v>138</v>
      </c>
      <c r="C9" s="178"/>
      <c r="D9" s="178"/>
      <c r="E9" s="178"/>
      <c r="F9" s="178"/>
      <c r="G9" s="195"/>
      <c r="H9" s="202">
        <f t="shared" ref="H9:H21" si="0">IFERROR(G9/(C9+E9),0)</f>
        <v>0</v>
      </c>
    </row>
    <row r="10" spans="1:9">
      <c r="A10" s="46">
        <v>3</v>
      </c>
      <c r="B10" s="36" t="s">
        <v>139</v>
      </c>
      <c r="C10" s="178"/>
      <c r="D10" s="178"/>
      <c r="E10" s="178"/>
      <c r="F10" s="178"/>
      <c r="G10" s="195"/>
      <c r="H10" s="202">
        <f t="shared" si="0"/>
        <v>0</v>
      </c>
    </row>
    <row r="11" spans="1:9">
      <c r="A11" s="46">
        <v>4</v>
      </c>
      <c r="B11" s="36" t="s">
        <v>140</v>
      </c>
      <c r="C11" s="178"/>
      <c r="D11" s="178"/>
      <c r="E11" s="178"/>
      <c r="F11" s="178"/>
      <c r="G11" s="195"/>
      <c r="H11" s="202">
        <f t="shared" si="0"/>
        <v>0</v>
      </c>
    </row>
    <row r="12" spans="1:9">
      <c r="A12" s="46">
        <v>5</v>
      </c>
      <c r="B12" s="36" t="s">
        <v>141</v>
      </c>
      <c r="C12" s="178"/>
      <c r="D12" s="178"/>
      <c r="E12" s="178"/>
      <c r="F12" s="178"/>
      <c r="G12" s="195"/>
      <c r="H12" s="202">
        <f t="shared" si="0"/>
        <v>0</v>
      </c>
    </row>
    <row r="13" spans="1:9">
      <c r="A13" s="46">
        <v>6</v>
      </c>
      <c r="B13" s="36" t="s">
        <v>142</v>
      </c>
      <c r="C13" s="178">
        <v>63595927.159999996</v>
      </c>
      <c r="D13" s="178"/>
      <c r="E13" s="178"/>
      <c r="F13" s="178">
        <v>21507346.853000004</v>
      </c>
      <c r="G13" s="195">
        <v>21507346.853000004</v>
      </c>
      <c r="H13" s="202">
        <f t="shared" si="0"/>
        <v>0.33818748799573289</v>
      </c>
    </row>
    <row r="14" spans="1:9">
      <c r="A14" s="46">
        <v>7</v>
      </c>
      <c r="B14" s="36" t="s">
        <v>73</v>
      </c>
      <c r="C14" s="178">
        <v>33896995.002156951</v>
      </c>
      <c r="D14" s="178">
        <v>5258530.3</v>
      </c>
      <c r="E14" s="178">
        <v>2629265.15</v>
      </c>
      <c r="F14" s="178">
        <v>36526260.152156949</v>
      </c>
      <c r="G14" s="195">
        <v>36526260.152156949</v>
      </c>
      <c r="H14" s="202">
        <f t="shared" si="0"/>
        <v>1</v>
      </c>
    </row>
    <row r="15" spans="1:9">
      <c r="A15" s="46">
        <v>8</v>
      </c>
      <c r="B15" s="36" t="s">
        <v>74</v>
      </c>
      <c r="C15" s="178">
        <v>1902398995.3639195</v>
      </c>
      <c r="D15" s="178">
        <v>60571464.960000008</v>
      </c>
      <c r="E15" s="178">
        <v>29412064.395000003</v>
      </c>
      <c r="F15" s="178">
        <v>1448858294.8191895</v>
      </c>
      <c r="G15" s="195">
        <v>1448858294.8191895</v>
      </c>
      <c r="H15" s="202">
        <f t="shared" si="0"/>
        <v>0.75</v>
      </c>
    </row>
    <row r="16" spans="1:9">
      <c r="A16" s="46">
        <v>9</v>
      </c>
      <c r="B16" s="36" t="s">
        <v>75</v>
      </c>
      <c r="C16" s="178">
        <v>102453143.8789375</v>
      </c>
      <c r="D16" s="178"/>
      <c r="E16" s="178"/>
      <c r="F16" s="178">
        <v>35858600.357628122</v>
      </c>
      <c r="G16" s="195">
        <v>35858600.357628122</v>
      </c>
      <c r="H16" s="202">
        <f t="shared" si="0"/>
        <v>0.35</v>
      </c>
    </row>
    <row r="17" spans="1:8">
      <c r="A17" s="46">
        <v>10</v>
      </c>
      <c r="B17" s="36" t="s">
        <v>69</v>
      </c>
      <c r="C17" s="178">
        <v>3236643</v>
      </c>
      <c r="D17" s="178"/>
      <c r="E17" s="178"/>
      <c r="F17" s="178">
        <v>3234368.5500000003</v>
      </c>
      <c r="G17" s="195">
        <v>3234368.5500000003</v>
      </c>
      <c r="H17" s="202">
        <f t="shared" si="0"/>
        <v>0.99929728116446581</v>
      </c>
    </row>
    <row r="18" spans="1:8">
      <c r="A18" s="46">
        <v>11</v>
      </c>
      <c r="B18" s="36" t="s">
        <v>70</v>
      </c>
      <c r="C18" s="178"/>
      <c r="D18" s="178"/>
      <c r="E18" s="178"/>
      <c r="F18" s="178"/>
      <c r="G18" s="195"/>
      <c r="H18" s="202">
        <f t="shared" si="0"/>
        <v>0</v>
      </c>
    </row>
    <row r="19" spans="1:8">
      <c r="A19" s="46">
        <v>12</v>
      </c>
      <c r="B19" s="36" t="s">
        <v>71</v>
      </c>
      <c r="C19" s="178"/>
      <c r="D19" s="178"/>
      <c r="E19" s="178"/>
      <c r="F19" s="178"/>
      <c r="G19" s="195"/>
      <c r="H19" s="202">
        <f t="shared" si="0"/>
        <v>0</v>
      </c>
    </row>
    <row r="20" spans="1:8">
      <c r="A20" s="46">
        <v>13</v>
      </c>
      <c r="B20" s="36" t="s">
        <v>72</v>
      </c>
      <c r="C20" s="178"/>
      <c r="D20" s="178"/>
      <c r="E20" s="178"/>
      <c r="F20" s="178"/>
      <c r="G20" s="195"/>
      <c r="H20" s="202">
        <f t="shared" si="0"/>
        <v>0</v>
      </c>
    </row>
    <row r="21" spans="1:8">
      <c r="A21" s="46">
        <v>14</v>
      </c>
      <c r="B21" s="36" t="s">
        <v>158</v>
      </c>
      <c r="C21" s="178">
        <v>168482398.63000003</v>
      </c>
      <c r="D21" s="178"/>
      <c r="E21" s="178"/>
      <c r="F21" s="178"/>
      <c r="G21" s="195">
        <v>88979856.940000027</v>
      </c>
      <c r="H21" s="202">
        <f t="shared" si="0"/>
        <v>0.52812553515104244</v>
      </c>
    </row>
    <row r="22" spans="1:8" ht="14.4" thickBot="1">
      <c r="A22" s="95"/>
      <c r="B22" s="101" t="s">
        <v>68</v>
      </c>
      <c r="C22" s="179">
        <f>SUM(C8:C21)</f>
        <v>2486668023.3250141</v>
      </c>
      <c r="D22" s="179">
        <f>SUM(D8:D21)</f>
        <v>65829995.260000005</v>
      </c>
      <c r="E22" s="179">
        <f>SUM(E8:E21)</f>
        <v>32041329.545000002</v>
      </c>
      <c r="F22" s="179">
        <f>SUM(F8:F21)</f>
        <v>1596429440.7519746</v>
      </c>
      <c r="G22" s="179">
        <f>SUM(G8:G21)</f>
        <v>1685409297.6919746</v>
      </c>
      <c r="H22" s="203">
        <f>G22/(C22+E22)</f>
        <v>0.66915592931414958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0" zoomScaleNormal="8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 bestFit="1" customWidth="1"/>
    <col min="2" max="2" width="104.21875" style="1" customWidth="1"/>
    <col min="3" max="11" width="12.77734375" style="1" customWidth="1"/>
    <col min="12" max="16384" width="9.21875" style="1"/>
  </cols>
  <sheetData>
    <row r="1" spans="1:11">
      <c r="A1" s="1" t="s">
        <v>111</v>
      </c>
      <c r="B1" s="1" t="str">
        <f>Info!C2</f>
        <v>სს "კრედო ბანკი"</v>
      </c>
    </row>
    <row r="2" spans="1:11">
      <c r="A2" s="1" t="s">
        <v>112</v>
      </c>
      <c r="B2" s="338">
        <f>'1. key ratios'!B2</f>
        <v>45382</v>
      </c>
    </row>
    <row r="4" spans="1:11" ht="14.4" thickBot="1">
      <c r="A4" s="1" t="s">
        <v>356</v>
      </c>
      <c r="B4" s="23" t="s">
        <v>355</v>
      </c>
    </row>
    <row r="5" spans="1:11" ht="30" customHeight="1">
      <c r="A5" s="815"/>
      <c r="B5" s="816"/>
      <c r="C5" s="813" t="s">
        <v>388</v>
      </c>
      <c r="D5" s="813"/>
      <c r="E5" s="813"/>
      <c r="F5" s="813" t="s">
        <v>389</v>
      </c>
      <c r="G5" s="813"/>
      <c r="H5" s="813"/>
      <c r="I5" s="813" t="s">
        <v>390</v>
      </c>
      <c r="J5" s="813"/>
      <c r="K5" s="814"/>
    </row>
    <row r="6" spans="1:11">
      <c r="A6" s="227"/>
      <c r="B6" s="228"/>
      <c r="C6" s="229" t="s">
        <v>28</v>
      </c>
      <c r="D6" s="229" t="s">
        <v>93</v>
      </c>
      <c r="E6" s="229" t="s">
        <v>68</v>
      </c>
      <c r="F6" s="229" t="s">
        <v>28</v>
      </c>
      <c r="G6" s="229" t="s">
        <v>93</v>
      </c>
      <c r="H6" s="229" t="s">
        <v>68</v>
      </c>
      <c r="I6" s="229" t="s">
        <v>28</v>
      </c>
      <c r="J6" s="229" t="s">
        <v>93</v>
      </c>
      <c r="K6" s="231" t="s">
        <v>68</v>
      </c>
    </row>
    <row r="7" spans="1:11">
      <c r="A7" s="232" t="s">
        <v>326</v>
      </c>
      <c r="B7" s="226"/>
      <c r="C7" s="226"/>
      <c r="D7" s="226"/>
      <c r="E7" s="226"/>
      <c r="F7" s="226"/>
      <c r="G7" s="226"/>
      <c r="H7" s="226"/>
      <c r="I7" s="226"/>
      <c r="J7" s="226"/>
      <c r="K7" s="233"/>
    </row>
    <row r="8" spans="1:11">
      <c r="A8" s="225">
        <v>1</v>
      </c>
      <c r="B8" s="210" t="s">
        <v>326</v>
      </c>
      <c r="C8" s="208"/>
      <c r="D8" s="208"/>
      <c r="E8" s="208"/>
      <c r="F8" s="700">
        <v>126341184.74333332</v>
      </c>
      <c r="G8" s="700">
        <v>160436022.96043012</v>
      </c>
      <c r="H8" s="700">
        <f>F8+G8</f>
        <v>286777207.70376343</v>
      </c>
      <c r="I8" s="700">
        <v>126699516.54038562</v>
      </c>
      <c r="J8" s="700">
        <v>78393646.166981831</v>
      </c>
      <c r="K8" s="701">
        <f>I8+J8</f>
        <v>205093162.70736745</v>
      </c>
    </row>
    <row r="9" spans="1:11">
      <c r="A9" s="232" t="s">
        <v>327</v>
      </c>
      <c r="B9" s="226"/>
      <c r="C9" s="226"/>
      <c r="D9" s="226"/>
      <c r="E9" s="226"/>
      <c r="F9" s="226"/>
      <c r="G9" s="226"/>
      <c r="H9" s="226"/>
      <c r="I9" s="226"/>
      <c r="J9" s="226"/>
      <c r="K9" s="702"/>
    </row>
    <row r="10" spans="1:11">
      <c r="A10" s="234">
        <v>2</v>
      </c>
      <c r="B10" s="211" t="s">
        <v>328</v>
      </c>
      <c r="C10" s="355">
        <v>265224909.08326828</v>
      </c>
      <c r="D10" s="696">
        <v>244241205.45038807</v>
      </c>
      <c r="E10" s="696">
        <f>C10+D10</f>
        <v>509466114.53365636</v>
      </c>
      <c r="F10" s="696">
        <v>65116936.382578708</v>
      </c>
      <c r="G10" s="696">
        <v>63441061.976796292</v>
      </c>
      <c r="H10" s="696">
        <f t="shared" ref="H10:H15" si="0">F10+G10</f>
        <v>128557998.359375</v>
      </c>
      <c r="I10" s="696">
        <v>13261245.454163417</v>
      </c>
      <c r="J10" s="696">
        <v>12212060.272519404</v>
      </c>
      <c r="K10" s="701">
        <f t="shared" ref="K10:K15" si="1">I10+J10</f>
        <v>25473305.726682819</v>
      </c>
    </row>
    <row r="11" spans="1:11">
      <c r="A11" s="234">
        <v>3</v>
      </c>
      <c r="B11" s="211" t="s">
        <v>329</v>
      </c>
      <c r="C11" s="355">
        <v>163964845.52535039</v>
      </c>
      <c r="D11" s="696">
        <v>17021576.372629836</v>
      </c>
      <c r="E11" s="696">
        <f t="shared" ref="E11:E15" si="2">C11+D11</f>
        <v>180986421.89798021</v>
      </c>
      <c r="F11" s="696">
        <v>85470166.757650629</v>
      </c>
      <c r="G11" s="696">
        <v>9264707.4631092828</v>
      </c>
      <c r="H11" s="696">
        <f t="shared" si="0"/>
        <v>94734874.220759913</v>
      </c>
      <c r="I11" s="696">
        <v>79759456.637804225</v>
      </c>
      <c r="J11" s="696">
        <v>9250487.223948257</v>
      </c>
      <c r="K11" s="701">
        <f t="shared" si="1"/>
        <v>89009943.86175248</v>
      </c>
    </row>
    <row r="12" spans="1:11">
      <c r="A12" s="234">
        <v>4</v>
      </c>
      <c r="B12" s="211" t="s">
        <v>330</v>
      </c>
      <c r="C12" s="355">
        <v>43436040.044493884</v>
      </c>
      <c r="D12" s="696">
        <v>0</v>
      </c>
      <c r="E12" s="696">
        <f t="shared" si="2"/>
        <v>43436040.044493884</v>
      </c>
      <c r="F12" s="696">
        <v>0</v>
      </c>
      <c r="G12" s="696">
        <v>0</v>
      </c>
      <c r="H12" s="696">
        <f t="shared" si="0"/>
        <v>0</v>
      </c>
      <c r="I12" s="696">
        <v>0</v>
      </c>
      <c r="J12" s="696">
        <v>0</v>
      </c>
      <c r="K12" s="701">
        <f t="shared" si="1"/>
        <v>0</v>
      </c>
    </row>
    <row r="13" spans="1:11">
      <c r="A13" s="234">
        <v>5</v>
      </c>
      <c r="B13" s="211" t="s">
        <v>331</v>
      </c>
      <c r="C13" s="355">
        <v>30853513.991032351</v>
      </c>
      <c r="D13" s="696">
        <v>9732658.585190028</v>
      </c>
      <c r="E13" s="696">
        <f t="shared" si="2"/>
        <v>40586172.576222375</v>
      </c>
      <c r="F13" s="696">
        <v>9256054.1973097045</v>
      </c>
      <c r="G13" s="696">
        <v>2919797.5755570084</v>
      </c>
      <c r="H13" s="696">
        <f t="shared" si="0"/>
        <v>12175851.772866713</v>
      </c>
      <c r="I13" s="696">
        <v>1542675.6995516177</v>
      </c>
      <c r="J13" s="696">
        <v>486632.9292595014</v>
      </c>
      <c r="K13" s="701">
        <f t="shared" si="1"/>
        <v>2029308.6288111191</v>
      </c>
    </row>
    <row r="14" spans="1:11">
      <c r="A14" s="234">
        <v>6</v>
      </c>
      <c r="B14" s="211" t="s">
        <v>346</v>
      </c>
      <c r="C14" s="355"/>
      <c r="D14" s="696"/>
      <c r="E14" s="696">
        <f t="shared" si="2"/>
        <v>0</v>
      </c>
      <c r="F14" s="696">
        <v>0</v>
      </c>
      <c r="G14" s="696">
        <v>0</v>
      </c>
      <c r="H14" s="696">
        <f t="shared" si="0"/>
        <v>0</v>
      </c>
      <c r="I14" s="696">
        <v>0</v>
      </c>
      <c r="J14" s="696">
        <v>0</v>
      </c>
      <c r="K14" s="701">
        <f t="shared" si="1"/>
        <v>0</v>
      </c>
    </row>
    <row r="15" spans="1:11">
      <c r="A15" s="234">
        <v>7</v>
      </c>
      <c r="B15" s="211" t="s">
        <v>333</v>
      </c>
      <c r="C15" s="355">
        <v>6336220.6678494625</v>
      </c>
      <c r="D15" s="696">
        <v>5938155.0590322586</v>
      </c>
      <c r="E15" s="696">
        <f t="shared" si="2"/>
        <v>12274375.72688172</v>
      </c>
      <c r="F15" s="696">
        <v>6336220.6678494625</v>
      </c>
      <c r="G15" s="696">
        <v>5938155.0590322586</v>
      </c>
      <c r="H15" s="696">
        <f t="shared" si="0"/>
        <v>12274375.72688172</v>
      </c>
      <c r="I15" s="696">
        <v>6336220.6678494625</v>
      </c>
      <c r="J15" s="696">
        <v>5938155.0590322586</v>
      </c>
      <c r="K15" s="701">
        <f t="shared" si="1"/>
        <v>12274375.72688172</v>
      </c>
    </row>
    <row r="16" spans="1:11">
      <c r="A16" s="234">
        <v>8</v>
      </c>
      <c r="B16" s="212" t="s">
        <v>334</v>
      </c>
      <c r="C16" s="703">
        <f>SUM(C10:C15)</f>
        <v>509815529.31199437</v>
      </c>
      <c r="D16" s="703">
        <f t="shared" ref="D16:K16" si="3">SUM(D10:D15)</f>
        <v>276933595.46724015</v>
      </c>
      <c r="E16" s="703">
        <f t="shared" si="3"/>
        <v>786749124.77923465</v>
      </c>
      <c r="F16" s="703">
        <f t="shared" si="3"/>
        <v>166179378.0053885</v>
      </c>
      <c r="G16" s="703">
        <f t="shared" si="3"/>
        <v>81563722.074494839</v>
      </c>
      <c r="H16" s="703">
        <f t="shared" si="3"/>
        <v>247743100.07988337</v>
      </c>
      <c r="I16" s="703">
        <f t="shared" si="3"/>
        <v>100899598.45936872</v>
      </c>
      <c r="J16" s="703">
        <f t="shared" si="3"/>
        <v>27887335.48475942</v>
      </c>
      <c r="K16" s="703">
        <f t="shared" si="3"/>
        <v>128786933.94412813</v>
      </c>
    </row>
    <row r="17" spans="1:11">
      <c r="A17" s="232" t="s">
        <v>335</v>
      </c>
      <c r="B17" s="226"/>
      <c r="C17" s="698"/>
      <c r="D17" s="698"/>
      <c r="E17" s="698"/>
      <c r="F17" s="698"/>
      <c r="G17" s="698"/>
      <c r="H17" s="698"/>
      <c r="I17" s="698"/>
      <c r="J17" s="698"/>
      <c r="K17" s="699"/>
    </row>
    <row r="18" spans="1:11">
      <c r="A18" s="234">
        <v>9</v>
      </c>
      <c r="B18" s="211" t="s">
        <v>336</v>
      </c>
      <c r="C18" s="355"/>
      <c r="D18" s="696"/>
      <c r="E18" s="696"/>
      <c r="F18" s="696"/>
      <c r="G18" s="696"/>
      <c r="H18" s="696"/>
      <c r="I18" s="696"/>
      <c r="J18" s="696"/>
      <c r="K18" s="697"/>
    </row>
    <row r="19" spans="1:11">
      <c r="A19" s="234">
        <v>10</v>
      </c>
      <c r="B19" s="211" t="s">
        <v>337</v>
      </c>
      <c r="C19" s="703">
        <v>81060419.192451105</v>
      </c>
      <c r="D19" s="704">
        <v>2441531.2877508285</v>
      </c>
      <c r="E19" s="704">
        <f>C19+D19</f>
        <v>83501950.48020193</v>
      </c>
      <c r="F19" s="704">
        <v>40530209.596225552</v>
      </c>
      <c r="G19" s="704">
        <v>1220765.6438754143</v>
      </c>
      <c r="H19" s="704">
        <f>F19+G19</f>
        <v>41750975.240100965</v>
      </c>
      <c r="I19" s="704">
        <v>94342724.921108752</v>
      </c>
      <c r="J19" s="704">
        <v>92601326.906341091</v>
      </c>
      <c r="K19" s="705">
        <f>I19+J19</f>
        <v>186944051.82744986</v>
      </c>
    </row>
    <row r="20" spans="1:11">
      <c r="A20" s="234">
        <v>11</v>
      </c>
      <c r="B20" s="211" t="s">
        <v>338</v>
      </c>
      <c r="C20" s="355"/>
      <c r="D20" s="696"/>
      <c r="E20" s="696"/>
      <c r="F20" s="696"/>
      <c r="G20" s="696"/>
      <c r="H20" s="696"/>
      <c r="I20" s="696"/>
      <c r="J20" s="696"/>
      <c r="K20" s="697"/>
    </row>
    <row r="21" spans="1:11" ht="14.4" thickBot="1">
      <c r="A21" s="147">
        <v>12</v>
      </c>
      <c r="B21" s="235" t="s">
        <v>339</v>
      </c>
      <c r="C21" s="712">
        <f t="shared" ref="C21:K21" si="4">SUM(C18:C20)</f>
        <v>81060419.192451105</v>
      </c>
      <c r="D21" s="712">
        <f t="shared" si="4"/>
        <v>2441531.2877508285</v>
      </c>
      <c r="E21" s="712">
        <f t="shared" si="4"/>
        <v>83501950.48020193</v>
      </c>
      <c r="F21" s="712">
        <f t="shared" si="4"/>
        <v>40530209.596225552</v>
      </c>
      <c r="G21" s="712">
        <f t="shared" si="4"/>
        <v>1220765.6438754143</v>
      </c>
      <c r="H21" s="712">
        <f t="shared" si="4"/>
        <v>41750975.240100965</v>
      </c>
      <c r="I21" s="712">
        <f t="shared" si="4"/>
        <v>94342724.921108752</v>
      </c>
      <c r="J21" s="712">
        <f t="shared" si="4"/>
        <v>92601326.906341091</v>
      </c>
      <c r="K21" s="712">
        <f t="shared" si="4"/>
        <v>186944051.82744986</v>
      </c>
    </row>
    <row r="22" spans="1:11" ht="38.25" customHeight="1" thickBot="1">
      <c r="A22" s="223"/>
      <c r="B22" s="224"/>
      <c r="C22" s="224"/>
      <c r="D22" s="224"/>
      <c r="E22" s="224"/>
      <c r="F22" s="812" t="s">
        <v>340</v>
      </c>
      <c r="G22" s="813"/>
      <c r="H22" s="813"/>
      <c r="I22" s="812" t="s">
        <v>341</v>
      </c>
      <c r="J22" s="813"/>
      <c r="K22" s="814"/>
    </row>
    <row r="23" spans="1:11" ht="14.4" thickBot="1">
      <c r="A23" s="216">
        <v>13</v>
      </c>
      <c r="B23" s="213" t="s">
        <v>326</v>
      </c>
      <c r="C23" s="222"/>
      <c r="D23" s="222"/>
      <c r="E23" s="222"/>
      <c r="F23" s="706">
        <f>F8</f>
        <v>126341184.74333332</v>
      </c>
      <c r="G23" s="706">
        <f>G8</f>
        <v>160436022.96043012</v>
      </c>
      <c r="H23" s="707">
        <f>F23+G23</f>
        <v>286777207.70376343</v>
      </c>
      <c r="I23" s="706">
        <f>I8</f>
        <v>126699516.54038562</v>
      </c>
      <c r="J23" s="706">
        <f>J8</f>
        <v>78393646.166981831</v>
      </c>
      <c r="K23" s="708">
        <f>I23+J23</f>
        <v>205093162.70736745</v>
      </c>
    </row>
    <row r="24" spans="1:11" ht="14.4" thickBot="1">
      <c r="A24" s="217">
        <v>14</v>
      </c>
      <c r="B24" s="214" t="s">
        <v>342</v>
      </c>
      <c r="C24" s="236"/>
      <c r="D24" s="220"/>
      <c r="E24" s="221"/>
      <c r="F24" s="709">
        <f>MAX(F16-F21,F16*0.25)</f>
        <v>125649168.40916294</v>
      </c>
      <c r="G24" s="709">
        <f>MAX(G16-G21,G16*0.25)</f>
        <v>80342956.430619419</v>
      </c>
      <c r="H24" s="707">
        <f>F24+G24</f>
        <v>205992124.83978236</v>
      </c>
      <c r="I24" s="709">
        <f>MAX(I16-I21,I16*0.25)</f>
        <v>25224899.61484218</v>
      </c>
      <c r="J24" s="709">
        <f>MAX(J16-J21,J16*0.25)</f>
        <v>6971833.871189855</v>
      </c>
      <c r="K24" s="708">
        <f>I24+J24</f>
        <v>32196733.486032035</v>
      </c>
    </row>
    <row r="25" spans="1:11" ht="14.4" thickBot="1">
      <c r="A25" s="218">
        <v>15</v>
      </c>
      <c r="B25" s="215" t="s">
        <v>343</v>
      </c>
      <c r="C25" s="219"/>
      <c r="D25" s="219"/>
      <c r="E25" s="219"/>
      <c r="F25" s="710">
        <f t="shared" ref="F25:K25" si="5">F23/F24</f>
        <v>1.0055075281669745</v>
      </c>
      <c r="G25" s="710">
        <f t="shared" si="5"/>
        <v>1.996889709914714</v>
      </c>
      <c r="H25" s="710">
        <f t="shared" si="5"/>
        <v>1.3921755888814416</v>
      </c>
      <c r="I25" s="710">
        <f t="shared" si="5"/>
        <v>5.0227956691584366</v>
      </c>
      <c r="J25" s="710">
        <f t="shared" si="5"/>
        <v>11.244336513945463</v>
      </c>
      <c r="K25" s="711">
        <f t="shared" si="5"/>
        <v>6.3699990806938027</v>
      </c>
    </row>
    <row r="28" spans="1:11" ht="41.4">
      <c r="B28" s="17" t="s">
        <v>387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21875" defaultRowHeight="13.8"/>
  <cols>
    <col min="1" max="1" width="10.5546875" style="32" bestFit="1" customWidth="1"/>
    <col min="2" max="2" width="95" style="32" customWidth="1"/>
    <col min="3" max="3" width="12.5546875" style="32" bestFit="1"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111</v>
      </c>
      <c r="B1" s="32" t="str">
        <f>Info!C2</f>
        <v>სს "კრედო ბანკი"</v>
      </c>
    </row>
    <row r="2" spans="1:14" ht="14.25" customHeight="1">
      <c r="A2" s="32" t="s">
        <v>112</v>
      </c>
      <c r="B2" s="338">
        <f>'1. key ratios'!B2</f>
        <v>45382</v>
      </c>
    </row>
    <row r="3" spans="1:14" ht="14.25" customHeight="1"/>
    <row r="4" spans="1:14" ht="14.4" thickBot="1">
      <c r="A4" s="1" t="s">
        <v>266</v>
      </c>
      <c r="B4" s="48" t="s">
        <v>77</v>
      </c>
    </row>
    <row r="5" spans="1:14" s="19" customFormat="1">
      <c r="A5" s="110"/>
      <c r="B5" s="111"/>
      <c r="C5" s="112" t="s">
        <v>0</v>
      </c>
      <c r="D5" s="112" t="s">
        <v>1</v>
      </c>
      <c r="E5" s="112" t="s">
        <v>2</v>
      </c>
      <c r="F5" s="112" t="s">
        <v>3</v>
      </c>
      <c r="G5" s="112" t="s">
        <v>4</v>
      </c>
      <c r="H5" s="112" t="s">
        <v>6</v>
      </c>
      <c r="I5" s="112" t="s">
        <v>149</v>
      </c>
      <c r="J5" s="112" t="s">
        <v>150</v>
      </c>
      <c r="K5" s="112" t="s">
        <v>151</v>
      </c>
      <c r="L5" s="112" t="s">
        <v>152</v>
      </c>
      <c r="M5" s="112" t="s">
        <v>153</v>
      </c>
      <c r="N5" s="113" t="s">
        <v>154</v>
      </c>
    </row>
    <row r="6" spans="1:14" ht="41.4">
      <c r="A6" s="102"/>
      <c r="B6" s="58"/>
      <c r="C6" s="59" t="s">
        <v>87</v>
      </c>
      <c r="D6" s="60" t="s">
        <v>76</v>
      </c>
      <c r="E6" s="61" t="s">
        <v>86</v>
      </c>
      <c r="F6" s="62">
        <v>0</v>
      </c>
      <c r="G6" s="62">
        <v>0.2</v>
      </c>
      <c r="H6" s="62">
        <v>0.35</v>
      </c>
      <c r="I6" s="62">
        <v>0.5</v>
      </c>
      <c r="J6" s="62">
        <v>0.75</v>
      </c>
      <c r="K6" s="62">
        <v>1</v>
      </c>
      <c r="L6" s="62">
        <v>1.5</v>
      </c>
      <c r="M6" s="62">
        <v>2.5</v>
      </c>
      <c r="N6" s="103" t="s">
        <v>77</v>
      </c>
    </row>
    <row r="7" spans="1:14">
      <c r="A7" s="104">
        <v>1</v>
      </c>
      <c r="B7" s="63" t="s">
        <v>78</v>
      </c>
      <c r="C7" s="186">
        <f>SUM(C8:C13)</f>
        <v>253116360.94999999</v>
      </c>
      <c r="D7" s="58"/>
      <c r="E7" s="189">
        <f t="shared" ref="E7:M7" si="0">SUM(E8:E13)</f>
        <v>5062327.2189999996</v>
      </c>
      <c r="F7" s="186">
        <f>SUM(F8:F13)</f>
        <v>0</v>
      </c>
      <c r="G7" s="186">
        <f t="shared" si="0"/>
        <v>0</v>
      </c>
      <c r="H7" s="186">
        <f t="shared" si="0"/>
        <v>0</v>
      </c>
      <c r="I7" s="186">
        <f t="shared" si="0"/>
        <v>0</v>
      </c>
      <c r="J7" s="186">
        <f t="shared" si="0"/>
        <v>0</v>
      </c>
      <c r="K7" s="186">
        <f t="shared" si="0"/>
        <v>5062327.2189999996</v>
      </c>
      <c r="L7" s="186">
        <f t="shared" si="0"/>
        <v>0</v>
      </c>
      <c r="M7" s="186">
        <f t="shared" si="0"/>
        <v>0</v>
      </c>
      <c r="N7" s="105">
        <f>SUM(N8:N13)</f>
        <v>5062327.2189999996</v>
      </c>
    </row>
    <row r="8" spans="1:14">
      <c r="A8" s="104">
        <v>1.1000000000000001</v>
      </c>
      <c r="B8" s="64" t="s">
        <v>79</v>
      </c>
      <c r="C8" s="187">
        <v>253116360.94999999</v>
      </c>
      <c r="D8" s="65">
        <v>0.02</v>
      </c>
      <c r="E8" s="189">
        <f>C8*D8</f>
        <v>5062327.2189999996</v>
      </c>
      <c r="F8" s="187"/>
      <c r="G8" s="187"/>
      <c r="H8" s="187"/>
      <c r="I8" s="187"/>
      <c r="J8" s="187"/>
      <c r="K8" s="187">
        <v>5062327.2189999996</v>
      </c>
      <c r="L8" s="187"/>
      <c r="M8" s="187"/>
      <c r="N8" s="105">
        <f>SUMPRODUCT($F$6:$M$6,F8:M8)</f>
        <v>5062327.2189999996</v>
      </c>
    </row>
    <row r="9" spans="1:14">
      <c r="A9" s="104">
        <v>1.2</v>
      </c>
      <c r="B9" s="64" t="s">
        <v>80</v>
      </c>
      <c r="C9" s="187">
        <v>0</v>
      </c>
      <c r="D9" s="65">
        <v>0.05</v>
      </c>
      <c r="E9" s="189">
        <f>C9*D9</f>
        <v>0</v>
      </c>
      <c r="F9" s="187"/>
      <c r="G9" s="187"/>
      <c r="H9" s="187"/>
      <c r="I9" s="187"/>
      <c r="J9" s="187"/>
      <c r="K9" s="187"/>
      <c r="L9" s="187"/>
      <c r="M9" s="187"/>
      <c r="N9" s="105">
        <f t="shared" ref="N9:N12" si="1">SUMPRODUCT($F$6:$M$6,F9:M9)</f>
        <v>0</v>
      </c>
    </row>
    <row r="10" spans="1:14">
      <c r="A10" s="104">
        <v>1.3</v>
      </c>
      <c r="B10" s="64" t="s">
        <v>81</v>
      </c>
      <c r="C10" s="187">
        <v>0</v>
      </c>
      <c r="D10" s="65">
        <v>0.08</v>
      </c>
      <c r="E10" s="189">
        <f>C10*D10</f>
        <v>0</v>
      </c>
      <c r="F10" s="187"/>
      <c r="G10" s="187"/>
      <c r="H10" s="187"/>
      <c r="I10" s="187"/>
      <c r="J10" s="187"/>
      <c r="K10" s="187"/>
      <c r="L10" s="187"/>
      <c r="M10" s="187"/>
      <c r="N10" s="105">
        <f>SUMPRODUCT($F$6:$M$6,F10:M10)</f>
        <v>0</v>
      </c>
    </row>
    <row r="11" spans="1:14">
      <c r="A11" s="104">
        <v>1.4</v>
      </c>
      <c r="B11" s="64" t="s">
        <v>82</v>
      </c>
      <c r="C11" s="187">
        <v>0</v>
      </c>
      <c r="D11" s="65">
        <v>0.11</v>
      </c>
      <c r="E11" s="189">
        <f>C11*D11</f>
        <v>0</v>
      </c>
      <c r="F11" s="187"/>
      <c r="G11" s="187"/>
      <c r="H11" s="187"/>
      <c r="I11" s="187"/>
      <c r="J11" s="187"/>
      <c r="K11" s="187"/>
      <c r="L11" s="187"/>
      <c r="M11" s="187"/>
      <c r="N11" s="105">
        <f t="shared" si="1"/>
        <v>0</v>
      </c>
    </row>
    <row r="12" spans="1:14">
      <c r="A12" s="104">
        <v>1.5</v>
      </c>
      <c r="B12" s="64" t="s">
        <v>83</v>
      </c>
      <c r="C12" s="187">
        <v>0</v>
      </c>
      <c r="D12" s="65">
        <v>0.14000000000000001</v>
      </c>
      <c r="E12" s="189">
        <f>C12*D12</f>
        <v>0</v>
      </c>
      <c r="F12" s="187"/>
      <c r="G12" s="187"/>
      <c r="H12" s="187"/>
      <c r="I12" s="187"/>
      <c r="J12" s="187"/>
      <c r="K12" s="187"/>
      <c r="L12" s="187"/>
      <c r="M12" s="187"/>
      <c r="N12" s="105">
        <f t="shared" si="1"/>
        <v>0</v>
      </c>
    </row>
    <row r="13" spans="1:14">
      <c r="A13" s="104">
        <v>1.6</v>
      </c>
      <c r="B13" s="66" t="s">
        <v>84</v>
      </c>
      <c r="C13" s="187">
        <v>0</v>
      </c>
      <c r="D13" s="67"/>
      <c r="E13" s="187"/>
      <c r="F13" s="187"/>
      <c r="G13" s="187"/>
      <c r="H13" s="187"/>
      <c r="I13" s="187"/>
      <c r="J13" s="187"/>
      <c r="K13" s="187"/>
      <c r="L13" s="187"/>
      <c r="M13" s="187"/>
      <c r="N13" s="105">
        <f>SUMPRODUCT($F$6:$M$6,F13:M13)</f>
        <v>0</v>
      </c>
    </row>
    <row r="14" spans="1:14">
      <c r="A14" s="104">
        <v>2</v>
      </c>
      <c r="B14" s="68" t="s">
        <v>85</v>
      </c>
      <c r="C14" s="186">
        <f>SUM(C15:C20)</f>
        <v>0</v>
      </c>
      <c r="D14" s="58"/>
      <c r="E14" s="189">
        <f t="shared" ref="E14:M14" si="2">SUM(E15:E20)</f>
        <v>0</v>
      </c>
      <c r="F14" s="187">
        <f t="shared" si="2"/>
        <v>0</v>
      </c>
      <c r="G14" s="187">
        <f t="shared" si="2"/>
        <v>0</v>
      </c>
      <c r="H14" s="187">
        <f t="shared" si="2"/>
        <v>0</v>
      </c>
      <c r="I14" s="187">
        <f t="shared" si="2"/>
        <v>0</v>
      </c>
      <c r="J14" s="187">
        <f t="shared" si="2"/>
        <v>0</v>
      </c>
      <c r="K14" s="187">
        <f t="shared" si="2"/>
        <v>0</v>
      </c>
      <c r="L14" s="187">
        <f t="shared" si="2"/>
        <v>0</v>
      </c>
      <c r="M14" s="187">
        <f t="shared" si="2"/>
        <v>0</v>
      </c>
      <c r="N14" s="105">
        <f>SUM(N15:N20)</f>
        <v>0</v>
      </c>
    </row>
    <row r="15" spans="1:14">
      <c r="A15" s="104">
        <v>2.1</v>
      </c>
      <c r="B15" s="66" t="s">
        <v>79</v>
      </c>
      <c r="C15" s="187"/>
      <c r="D15" s="65">
        <v>5.0000000000000001E-3</v>
      </c>
      <c r="E15" s="189">
        <f>C15*D15</f>
        <v>0</v>
      </c>
      <c r="F15" s="187"/>
      <c r="G15" s="187"/>
      <c r="H15" s="187"/>
      <c r="I15" s="187"/>
      <c r="J15" s="187"/>
      <c r="K15" s="187"/>
      <c r="L15" s="187"/>
      <c r="M15" s="187"/>
      <c r="N15" s="105">
        <f>SUMPRODUCT($F$6:$M$6,F15:M15)</f>
        <v>0</v>
      </c>
    </row>
    <row r="16" spans="1:14">
      <c r="A16" s="104">
        <v>2.2000000000000002</v>
      </c>
      <c r="B16" s="66" t="s">
        <v>80</v>
      </c>
      <c r="C16" s="187"/>
      <c r="D16" s="65">
        <v>0.01</v>
      </c>
      <c r="E16" s="189">
        <f>C16*D16</f>
        <v>0</v>
      </c>
      <c r="F16" s="187"/>
      <c r="G16" s="187"/>
      <c r="H16" s="187"/>
      <c r="I16" s="187"/>
      <c r="J16" s="187"/>
      <c r="K16" s="187"/>
      <c r="L16" s="187"/>
      <c r="M16" s="187"/>
      <c r="N16" s="105">
        <f t="shared" ref="N16:N20" si="3">SUMPRODUCT($F$6:$M$6,F16:M16)</f>
        <v>0</v>
      </c>
    </row>
    <row r="17" spans="1:14">
      <c r="A17" s="104">
        <v>2.2999999999999998</v>
      </c>
      <c r="B17" s="66" t="s">
        <v>81</v>
      </c>
      <c r="C17" s="187"/>
      <c r="D17" s="65">
        <v>0.02</v>
      </c>
      <c r="E17" s="189">
        <f>C17*D17</f>
        <v>0</v>
      </c>
      <c r="F17" s="187"/>
      <c r="G17" s="187"/>
      <c r="H17" s="187"/>
      <c r="I17" s="187"/>
      <c r="J17" s="187"/>
      <c r="K17" s="187"/>
      <c r="L17" s="187"/>
      <c r="M17" s="187"/>
      <c r="N17" s="105">
        <f t="shared" si="3"/>
        <v>0</v>
      </c>
    </row>
    <row r="18" spans="1:14">
      <c r="A18" s="104">
        <v>2.4</v>
      </c>
      <c r="B18" s="66" t="s">
        <v>82</v>
      </c>
      <c r="C18" s="187"/>
      <c r="D18" s="65">
        <v>0.03</v>
      </c>
      <c r="E18" s="189">
        <f>C18*D18</f>
        <v>0</v>
      </c>
      <c r="F18" s="187"/>
      <c r="G18" s="187"/>
      <c r="H18" s="187"/>
      <c r="I18" s="187"/>
      <c r="J18" s="187"/>
      <c r="K18" s="187"/>
      <c r="L18" s="187"/>
      <c r="M18" s="187"/>
      <c r="N18" s="105">
        <f t="shared" si="3"/>
        <v>0</v>
      </c>
    </row>
    <row r="19" spans="1:14">
      <c r="A19" s="104">
        <v>2.5</v>
      </c>
      <c r="B19" s="66" t="s">
        <v>83</v>
      </c>
      <c r="C19" s="187"/>
      <c r="D19" s="65">
        <v>0.04</v>
      </c>
      <c r="E19" s="189">
        <f>C19*D19</f>
        <v>0</v>
      </c>
      <c r="F19" s="187"/>
      <c r="G19" s="187"/>
      <c r="H19" s="187"/>
      <c r="I19" s="187"/>
      <c r="J19" s="187"/>
      <c r="K19" s="187"/>
      <c r="L19" s="187"/>
      <c r="M19" s="187"/>
      <c r="N19" s="105">
        <f t="shared" si="3"/>
        <v>0</v>
      </c>
    </row>
    <row r="20" spans="1:14">
      <c r="A20" s="104">
        <v>2.6</v>
      </c>
      <c r="B20" s="66" t="s">
        <v>84</v>
      </c>
      <c r="C20" s="187"/>
      <c r="D20" s="67"/>
      <c r="E20" s="190"/>
      <c r="F20" s="187"/>
      <c r="G20" s="187"/>
      <c r="H20" s="187"/>
      <c r="I20" s="187"/>
      <c r="J20" s="187"/>
      <c r="K20" s="187"/>
      <c r="L20" s="187"/>
      <c r="M20" s="187"/>
      <c r="N20" s="105">
        <f t="shared" si="3"/>
        <v>0</v>
      </c>
    </row>
    <row r="21" spans="1:14" ht="14.4" thickBot="1">
      <c r="A21" s="106">
        <v>3</v>
      </c>
      <c r="B21" s="107" t="s">
        <v>68</v>
      </c>
      <c r="C21" s="188">
        <f>C14+C7</f>
        <v>253116360.94999999</v>
      </c>
      <c r="D21" s="108"/>
      <c r="E21" s="191">
        <f>E14+E7</f>
        <v>5062327.2189999996</v>
      </c>
      <c r="F21" s="192">
        <f>F7+F14</f>
        <v>0</v>
      </c>
      <c r="G21" s="192">
        <f t="shared" ref="G21:L21" si="4">G7+G14</f>
        <v>0</v>
      </c>
      <c r="H21" s="192">
        <f t="shared" si="4"/>
        <v>0</v>
      </c>
      <c r="I21" s="192">
        <f t="shared" si="4"/>
        <v>0</v>
      </c>
      <c r="J21" s="192">
        <f t="shared" si="4"/>
        <v>0</v>
      </c>
      <c r="K21" s="192">
        <f t="shared" si="4"/>
        <v>5062327.2189999996</v>
      </c>
      <c r="L21" s="192">
        <f t="shared" si="4"/>
        <v>0</v>
      </c>
      <c r="M21" s="192">
        <f>M7+M14</f>
        <v>0</v>
      </c>
      <c r="N21" s="109">
        <f>N14+N7</f>
        <v>5062327.2189999996</v>
      </c>
    </row>
    <row r="22" spans="1:14">
      <c r="E22" s="193"/>
      <c r="F22" s="193"/>
      <c r="G22" s="193"/>
      <c r="H22" s="193"/>
      <c r="I22" s="193"/>
      <c r="J22" s="193"/>
      <c r="K22" s="193"/>
      <c r="L22" s="193"/>
      <c r="M22" s="193"/>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C38"/>
    </sheetView>
  </sheetViews>
  <sheetFormatPr defaultRowHeight="14.4"/>
  <cols>
    <col min="1" max="1" width="11.44140625" customWidth="1"/>
    <col min="2" max="2" width="76.77734375" style="2" customWidth="1"/>
    <col min="3" max="3" width="22.77734375" customWidth="1"/>
  </cols>
  <sheetData>
    <row r="1" spans="1:3">
      <c r="A1" s="1" t="s">
        <v>111</v>
      </c>
      <c r="B1" t="str">
        <f>Info!C2</f>
        <v>სს "კრედო ბანკი"</v>
      </c>
    </row>
    <row r="2" spans="1:3">
      <c r="A2" s="1" t="s">
        <v>112</v>
      </c>
      <c r="B2" s="338">
        <f>'1. key ratios'!B2</f>
        <v>45382</v>
      </c>
    </row>
    <row r="3" spans="1:3">
      <c r="A3" s="1"/>
      <c r="B3"/>
    </row>
    <row r="4" spans="1:3">
      <c r="A4" s="1" t="s">
        <v>432</v>
      </c>
      <c r="B4" t="s">
        <v>391</v>
      </c>
    </row>
    <row r="5" spans="1:3">
      <c r="A5" s="275"/>
      <c r="B5" s="275" t="s">
        <v>392</v>
      </c>
      <c r="C5" s="287"/>
    </row>
    <row r="6" spans="1:3">
      <c r="A6" s="276">
        <v>1</v>
      </c>
      <c r="B6" s="288" t="s">
        <v>444</v>
      </c>
      <c r="C6" s="289">
        <f>'2. SOFP'!E69</f>
        <v>2509825960.7229109</v>
      </c>
    </row>
    <row r="7" spans="1:3">
      <c r="A7" s="276">
        <v>2</v>
      </c>
      <c r="B7" s="288" t="s">
        <v>393</v>
      </c>
      <c r="C7" s="289">
        <f>'9. Capital'!C15</f>
        <v>23157935.830000002</v>
      </c>
    </row>
    <row r="8" spans="1:3">
      <c r="A8" s="277">
        <v>3</v>
      </c>
      <c r="B8" s="290" t="s">
        <v>394</v>
      </c>
      <c r="C8" s="291">
        <f>C6+C7</f>
        <v>2532983896.5529108</v>
      </c>
    </row>
    <row r="9" spans="1:3">
      <c r="A9" s="278"/>
      <c r="B9" s="278" t="s">
        <v>395</v>
      </c>
      <c r="C9" s="292"/>
    </row>
    <row r="10" spans="1:3">
      <c r="A10" s="279">
        <v>4</v>
      </c>
      <c r="B10" s="293" t="s">
        <v>396</v>
      </c>
      <c r="C10" s="289"/>
    </row>
    <row r="11" spans="1:3">
      <c r="A11" s="279">
        <v>5</v>
      </c>
      <c r="B11" s="294" t="s">
        <v>397</v>
      </c>
      <c r="C11" s="289"/>
    </row>
    <row r="12" spans="1:3">
      <c r="A12" s="279" t="s">
        <v>398</v>
      </c>
      <c r="B12" s="288" t="s">
        <v>399</v>
      </c>
      <c r="C12" s="291">
        <f>'15. CCR'!E21</f>
        <v>5062327.2189999996</v>
      </c>
    </row>
    <row r="13" spans="1:3">
      <c r="A13" s="280">
        <v>6</v>
      </c>
      <c r="B13" s="295" t="s">
        <v>400</v>
      </c>
      <c r="C13" s="289"/>
    </row>
    <row r="14" spans="1:3">
      <c r="A14" s="280">
        <v>7</v>
      </c>
      <c r="B14" s="296" t="s">
        <v>401</v>
      </c>
      <c r="C14" s="289"/>
    </row>
    <row r="15" spans="1:3">
      <c r="A15" s="281">
        <v>8</v>
      </c>
      <c r="B15" s="288" t="s">
        <v>402</v>
      </c>
      <c r="C15" s="289"/>
    </row>
    <row r="16" spans="1:3" ht="22.8">
      <c r="A16" s="280">
        <v>9</v>
      </c>
      <c r="B16" s="296" t="s">
        <v>403</v>
      </c>
      <c r="C16" s="289"/>
    </row>
    <row r="17" spans="1:3">
      <c r="A17" s="280">
        <v>10</v>
      </c>
      <c r="B17" s="296" t="s">
        <v>404</v>
      </c>
      <c r="C17" s="289"/>
    </row>
    <row r="18" spans="1:3">
      <c r="A18" s="282">
        <v>11</v>
      </c>
      <c r="B18" s="297" t="s">
        <v>405</v>
      </c>
      <c r="C18" s="291">
        <f>SUM(C10:C17)</f>
        <v>5062327.2189999996</v>
      </c>
    </row>
    <row r="19" spans="1:3">
      <c r="A19" s="278"/>
      <c r="B19" s="278" t="s">
        <v>406</v>
      </c>
      <c r="C19" s="298"/>
    </row>
    <row r="20" spans="1:3">
      <c r="A20" s="280">
        <v>12</v>
      </c>
      <c r="B20" s="293" t="s">
        <v>407</v>
      </c>
      <c r="C20" s="289"/>
    </row>
    <row r="21" spans="1:3">
      <c r="A21" s="280">
        <v>13</v>
      </c>
      <c r="B21" s="293" t="s">
        <v>408</v>
      </c>
      <c r="C21" s="289"/>
    </row>
    <row r="22" spans="1:3">
      <c r="A22" s="280">
        <v>14</v>
      </c>
      <c r="B22" s="293" t="s">
        <v>409</v>
      </c>
      <c r="C22" s="289"/>
    </row>
    <row r="23" spans="1:3" ht="22.8">
      <c r="A23" s="280" t="s">
        <v>410</v>
      </c>
      <c r="B23" s="293" t="s">
        <v>411</v>
      </c>
      <c r="C23" s="289"/>
    </row>
    <row r="24" spans="1:3">
      <c r="A24" s="280">
        <v>15</v>
      </c>
      <c r="B24" s="293" t="s">
        <v>412</v>
      </c>
      <c r="C24" s="289"/>
    </row>
    <row r="25" spans="1:3">
      <c r="A25" s="280" t="s">
        <v>413</v>
      </c>
      <c r="B25" s="288" t="s">
        <v>414</v>
      </c>
      <c r="C25" s="289"/>
    </row>
    <row r="26" spans="1:3">
      <c r="A26" s="282">
        <v>16</v>
      </c>
      <c r="B26" s="297" t="s">
        <v>415</v>
      </c>
      <c r="C26" s="291">
        <f>SUM(C20:C25)</f>
        <v>0</v>
      </c>
    </row>
    <row r="27" spans="1:3">
      <c r="A27" s="278"/>
      <c r="B27" s="278" t="s">
        <v>416</v>
      </c>
      <c r="C27" s="292"/>
    </row>
    <row r="28" spans="1:3">
      <c r="A28" s="279">
        <v>17</v>
      </c>
      <c r="B28" s="288" t="s">
        <v>417</v>
      </c>
      <c r="C28" s="289">
        <v>65829995.260000005</v>
      </c>
    </row>
    <row r="29" spans="1:3">
      <c r="A29" s="279">
        <v>18</v>
      </c>
      <c r="B29" s="288" t="s">
        <v>418</v>
      </c>
      <c r="C29" s="289">
        <v>-33788665.715000004</v>
      </c>
    </row>
    <row r="30" spans="1:3">
      <c r="A30" s="282">
        <v>19</v>
      </c>
      <c r="B30" s="297" t="s">
        <v>419</v>
      </c>
      <c r="C30" s="291">
        <f>C28+C29</f>
        <v>32041329.545000002</v>
      </c>
    </row>
    <row r="31" spans="1:3">
      <c r="A31" s="283"/>
      <c r="B31" s="278" t="s">
        <v>420</v>
      </c>
      <c r="C31" s="292"/>
    </row>
    <row r="32" spans="1:3">
      <c r="A32" s="279" t="s">
        <v>421</v>
      </c>
      <c r="B32" s="293" t="s">
        <v>422</v>
      </c>
      <c r="C32" s="299"/>
    </row>
    <row r="33" spans="1:3">
      <c r="A33" s="279" t="s">
        <v>423</v>
      </c>
      <c r="B33" s="294" t="s">
        <v>424</v>
      </c>
      <c r="C33" s="299"/>
    </row>
    <row r="34" spans="1:3">
      <c r="A34" s="278"/>
      <c r="B34" s="278" t="s">
        <v>425</v>
      </c>
      <c r="C34" s="292"/>
    </row>
    <row r="35" spans="1:3">
      <c r="A35" s="282">
        <v>20</v>
      </c>
      <c r="B35" s="297" t="s">
        <v>89</v>
      </c>
      <c r="C35" s="291">
        <f>'1. key ratios'!C9</f>
        <v>294760030.40000677</v>
      </c>
    </row>
    <row r="36" spans="1:3">
      <c r="A36" s="282">
        <v>21</v>
      </c>
      <c r="B36" s="297" t="s">
        <v>426</v>
      </c>
      <c r="C36" s="291">
        <f>C8+C18+C26+C30</f>
        <v>2570087553.3169107</v>
      </c>
    </row>
    <row r="37" spans="1:3">
      <c r="A37" s="284"/>
      <c r="B37" s="284" t="s">
        <v>391</v>
      </c>
      <c r="C37" s="292"/>
    </row>
    <row r="38" spans="1:3">
      <c r="A38" s="282">
        <v>22</v>
      </c>
      <c r="B38" s="297" t="s">
        <v>391</v>
      </c>
      <c r="C38" s="695">
        <f>IFERROR(C35/C36,0)</f>
        <v>0.11468871168205712</v>
      </c>
    </row>
    <row r="39" spans="1:3">
      <c r="A39" s="284"/>
      <c r="B39" s="284" t="s">
        <v>427</v>
      </c>
      <c r="C39" s="292"/>
    </row>
    <row r="40" spans="1:3">
      <c r="A40" s="285" t="s">
        <v>428</v>
      </c>
      <c r="B40" s="293" t="s">
        <v>429</v>
      </c>
      <c r="C40" s="299"/>
    </row>
    <row r="41" spans="1:3">
      <c r="A41" s="286" t="s">
        <v>430</v>
      </c>
      <c r="B41" s="294" t="s">
        <v>431</v>
      </c>
      <c r="C41" s="299"/>
    </row>
    <row r="43" spans="1:3">
      <c r="B43" s="308" t="s">
        <v>445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G42"/>
  <sheetViews>
    <sheetView zoomScale="90" zoomScaleNormal="90" workbookViewId="0">
      <pane xSplit="2" ySplit="6" topLeftCell="C21" activePane="bottomRight" state="frozen"/>
      <selection pane="topRight" activeCell="C1" sqref="C1"/>
      <selection pane="bottomLeft" activeCell="A7" sqref="A7"/>
      <selection pane="bottomRight" activeCell="C23" sqref="C23:G37"/>
    </sheetView>
  </sheetViews>
  <sheetFormatPr defaultRowHeight="14.4"/>
  <cols>
    <col min="1" max="1" width="9.88671875" style="1" bestFit="1" customWidth="1"/>
    <col min="2" max="2" width="82.6640625" style="17" customWidth="1"/>
    <col min="3" max="7" width="17.5546875" style="1" customWidth="1"/>
  </cols>
  <sheetData>
    <row r="1" spans="1:7">
      <c r="A1" s="1" t="s">
        <v>111</v>
      </c>
      <c r="B1" s="1" t="str">
        <f>Info!C2</f>
        <v>სს "კრედო ბანკი"</v>
      </c>
    </row>
    <row r="2" spans="1:7">
      <c r="A2" s="1" t="s">
        <v>112</v>
      </c>
      <c r="B2" s="338">
        <f>'1. key ratios'!B2</f>
        <v>45382</v>
      </c>
    </row>
    <row r="3" spans="1:7">
      <c r="B3" s="338"/>
    </row>
    <row r="4" spans="1:7" ht="15" thickBot="1">
      <c r="A4" s="1" t="s">
        <v>492</v>
      </c>
      <c r="B4" s="201" t="s">
        <v>457</v>
      </c>
    </row>
    <row r="5" spans="1:7">
      <c r="A5" s="340"/>
      <c r="B5" s="341"/>
      <c r="C5" s="817" t="s">
        <v>458</v>
      </c>
      <c r="D5" s="817"/>
      <c r="E5" s="817"/>
      <c r="F5" s="817"/>
      <c r="G5" s="818" t="s">
        <v>459</v>
      </c>
    </row>
    <row r="6" spans="1:7">
      <c r="A6" s="342"/>
      <c r="B6" s="343"/>
      <c r="C6" s="344" t="s">
        <v>460</v>
      </c>
      <c r="D6" s="344" t="s">
        <v>461</v>
      </c>
      <c r="E6" s="344" t="s">
        <v>462</v>
      </c>
      <c r="F6" s="344" t="s">
        <v>463</v>
      </c>
      <c r="G6" s="819"/>
    </row>
    <row r="7" spans="1:7">
      <c r="A7" s="345"/>
      <c r="B7" s="346" t="s">
        <v>464</v>
      </c>
      <c r="C7" s="347"/>
      <c r="D7" s="347"/>
      <c r="E7" s="347"/>
      <c r="F7" s="347"/>
      <c r="G7" s="348"/>
    </row>
    <row r="8" spans="1:7">
      <c r="A8" s="349">
        <v>1</v>
      </c>
      <c r="B8" s="350" t="s">
        <v>465</v>
      </c>
      <c r="C8" s="740">
        <f>SUM(C9:C10)</f>
        <v>294760030.40000677</v>
      </c>
      <c r="D8" s="351">
        <f>SUM(D9:D10)</f>
        <v>0</v>
      </c>
      <c r="E8" s="351">
        <f>SUM(E9:E10)</f>
        <v>0</v>
      </c>
      <c r="F8" s="740">
        <f>SUM(F9:F10)</f>
        <v>782108826.15046239</v>
      </c>
      <c r="G8" s="358">
        <f>SUM(G9:G10)</f>
        <v>1076868856.5504692</v>
      </c>
    </row>
    <row r="9" spans="1:7">
      <c r="A9" s="349">
        <v>2</v>
      </c>
      <c r="B9" s="353" t="s">
        <v>88</v>
      </c>
      <c r="C9" s="351">
        <v>294760030.40000677</v>
      </c>
      <c r="D9" s="351"/>
      <c r="E9" s="351"/>
      <c r="F9" s="351">
        <v>91627565</v>
      </c>
      <c r="G9" s="352">
        <v>386387595.40000677</v>
      </c>
    </row>
    <row r="10" spans="1:7">
      <c r="A10" s="349">
        <v>3</v>
      </c>
      <c r="B10" s="353" t="s">
        <v>466</v>
      </c>
      <c r="C10" s="354"/>
      <c r="D10" s="354"/>
      <c r="E10" s="354"/>
      <c r="F10" s="351">
        <v>690481261.15046239</v>
      </c>
      <c r="G10" s="352">
        <v>690481261.15046239</v>
      </c>
    </row>
    <row r="11" spans="1:7" ht="27.6">
      <c r="A11" s="349">
        <v>4</v>
      </c>
      <c r="B11" s="350" t="s">
        <v>467</v>
      </c>
      <c r="C11" s="740">
        <f t="shared" ref="C11:F11" si="0">SUM(C12:C13)</f>
        <v>232934096</v>
      </c>
      <c r="D11" s="740">
        <f t="shared" si="0"/>
        <v>259858817</v>
      </c>
      <c r="E11" s="740">
        <f t="shared" si="0"/>
        <v>135841204</v>
      </c>
      <c r="F11" s="740">
        <f t="shared" si="0"/>
        <v>14204223</v>
      </c>
      <c r="G11" s="358">
        <f>SUM(G12:G13)</f>
        <v>491103779.55835378</v>
      </c>
    </row>
    <row r="12" spans="1:7">
      <c r="A12" s="349">
        <v>5</v>
      </c>
      <c r="B12" s="353" t="s">
        <v>468</v>
      </c>
      <c r="C12" s="351">
        <f>77272090+72821</f>
        <v>77344911</v>
      </c>
      <c r="D12" s="355">
        <f>138741222+34798629</f>
        <v>173539851</v>
      </c>
      <c r="E12" s="351">
        <f>65792252+48409744</f>
        <v>114201996</v>
      </c>
      <c r="F12" s="351">
        <f>11990153</f>
        <v>11990153</v>
      </c>
      <c r="G12" s="352">
        <v>358223064.89410263</v>
      </c>
    </row>
    <row r="13" spans="1:7">
      <c r="A13" s="349">
        <v>6</v>
      </c>
      <c r="B13" s="353" t="s">
        <v>469</v>
      </c>
      <c r="C13" s="351">
        <v>155589185</v>
      </c>
      <c r="D13" s="355">
        <f>83108881+3210085</f>
        <v>86318966</v>
      </c>
      <c r="E13" s="351">
        <f>18195596+3443612</f>
        <v>21639208</v>
      </c>
      <c r="F13" s="351">
        <v>2214070</v>
      </c>
      <c r="G13" s="352">
        <v>132880714.66425115</v>
      </c>
    </row>
    <row r="14" spans="1:7">
      <c r="A14" s="349">
        <v>7</v>
      </c>
      <c r="B14" s="350" t="s">
        <v>470</v>
      </c>
      <c r="C14" s="740">
        <f t="shared" ref="C14:F14" si="1">SUM(C15:C16)</f>
        <v>78425872</v>
      </c>
      <c r="D14" s="740">
        <f t="shared" si="1"/>
        <v>151039347</v>
      </c>
      <c r="E14" s="740">
        <f t="shared" si="1"/>
        <v>157296037</v>
      </c>
      <c r="F14" s="740">
        <f t="shared" si="1"/>
        <v>23588011</v>
      </c>
      <c r="G14" s="352">
        <f>SUM(G15:G16)</f>
        <v>205174633.17491353</v>
      </c>
    </row>
    <row r="15" spans="1:7" ht="55.2">
      <c r="A15" s="349">
        <v>8</v>
      </c>
      <c r="B15" s="353" t="s">
        <v>471</v>
      </c>
      <c r="C15" s="351">
        <f>78425872</f>
        <v>78425872</v>
      </c>
      <c r="D15" s="741">
        <f>46499134+34100682+45416360</f>
        <v>126016176</v>
      </c>
      <c r="E15" s="741">
        <f>12286465+42900521+20789293</f>
        <v>75976279</v>
      </c>
      <c r="F15" s="741">
        <f>23588011</f>
        <v>23588011</v>
      </c>
      <c r="G15" s="742">
        <v>152003168.91048041</v>
      </c>
    </row>
    <row r="16" spans="1:7" ht="27.6">
      <c r="A16" s="349">
        <v>9</v>
      </c>
      <c r="B16" s="353" t="s">
        <v>472</v>
      </c>
      <c r="C16" s="351"/>
      <c r="D16" s="741">
        <f>25023171</f>
        <v>25023171</v>
      </c>
      <c r="E16" s="351">
        <v>81319758</v>
      </c>
      <c r="F16" s="351"/>
      <c r="G16" s="352">
        <v>53171464.264433108</v>
      </c>
    </row>
    <row r="17" spans="1:7">
      <c r="A17" s="349">
        <v>10</v>
      </c>
      <c r="B17" s="350" t="s">
        <v>473</v>
      </c>
      <c r="C17" s="351"/>
      <c r="D17" s="355"/>
      <c r="E17" s="351"/>
      <c r="F17" s="351"/>
      <c r="G17" s="352"/>
    </row>
    <row r="18" spans="1:7">
      <c r="A18" s="349">
        <v>11</v>
      </c>
      <c r="B18" s="350" t="s">
        <v>92</v>
      </c>
      <c r="C18" s="740">
        <f>SUM(C19:C20)</f>
        <v>51546608.028547466</v>
      </c>
      <c r="D18" s="703">
        <f t="shared" ref="D18:G18" si="2">SUM(D19:D20)</f>
        <v>226351777</v>
      </c>
      <c r="E18" s="740">
        <f t="shared" si="2"/>
        <v>29848316.426009621</v>
      </c>
      <c r="F18" s="740">
        <f t="shared" si="2"/>
        <v>48864858.553179622</v>
      </c>
      <c r="G18" s="352">
        <f t="shared" si="2"/>
        <v>0</v>
      </c>
    </row>
    <row r="19" spans="1:7">
      <c r="A19" s="349">
        <v>12</v>
      </c>
      <c r="B19" s="353" t="s">
        <v>474</v>
      </c>
      <c r="C19" s="354"/>
      <c r="D19" s="355"/>
      <c r="E19" s="351"/>
      <c r="F19" s="351"/>
      <c r="G19" s="352"/>
    </row>
    <row r="20" spans="1:7" ht="27.6">
      <c r="A20" s="349">
        <v>13</v>
      </c>
      <c r="B20" s="353" t="s">
        <v>475</v>
      </c>
      <c r="C20" s="351">
        <v>51546608.028547466</v>
      </c>
      <c r="D20" s="351">
        <v>226351777</v>
      </c>
      <c r="E20" s="351">
        <v>29848316.426009621</v>
      </c>
      <c r="F20" s="351">
        <v>48864858.553179622</v>
      </c>
      <c r="G20" s="352"/>
    </row>
    <row r="21" spans="1:7">
      <c r="A21" s="356">
        <v>14</v>
      </c>
      <c r="B21" s="357" t="s">
        <v>476</v>
      </c>
      <c r="C21" s="354"/>
      <c r="D21" s="354"/>
      <c r="E21" s="354"/>
      <c r="F21" s="354"/>
      <c r="G21" s="358">
        <f>SUM(G8,G11,G14,G17,G18)</f>
        <v>1773147269.2837362</v>
      </c>
    </row>
    <row r="22" spans="1:7">
      <c r="A22" s="359"/>
      <c r="B22" s="375" t="s">
        <v>477</v>
      </c>
      <c r="C22" s="360"/>
      <c r="D22" s="361"/>
      <c r="E22" s="360"/>
      <c r="F22" s="360"/>
      <c r="G22" s="362"/>
    </row>
    <row r="23" spans="1:7">
      <c r="A23" s="349">
        <v>15</v>
      </c>
      <c r="B23" s="350" t="s">
        <v>326</v>
      </c>
      <c r="C23" s="743">
        <f>79502541.69+49116299+30817833</f>
        <v>159436673.69</v>
      </c>
      <c r="D23" s="744">
        <f>326802.231717115+141120412+3065971*0.95</f>
        <v>144359886.6817171</v>
      </c>
      <c r="E23" s="743">
        <v>364172.16135393438</v>
      </c>
      <c r="F23" s="743">
        <f>5451425.60692895+19301237*0.95</f>
        <v>23787600.756928951</v>
      </c>
      <c r="G23" s="358">
        <v>2910454.1361500006</v>
      </c>
    </row>
    <row r="24" spans="1:7">
      <c r="A24" s="349">
        <v>16</v>
      </c>
      <c r="B24" s="350" t="s">
        <v>478</v>
      </c>
      <c r="C24" s="740">
        <f>SUM(C25:C27,C29,C31)</f>
        <v>32778094</v>
      </c>
      <c r="D24" s="740">
        <f t="shared" ref="D24:G24" si="3">SUM(D25:D27,D29,D31)</f>
        <v>615432397.27262092</v>
      </c>
      <c r="E24" s="740">
        <f t="shared" si="3"/>
        <v>217401573.05307144</v>
      </c>
      <c r="F24" s="740">
        <f t="shared" si="3"/>
        <v>1130029926.5067875</v>
      </c>
      <c r="G24" s="745">
        <f t="shared" si="3"/>
        <v>1365057815.7312198</v>
      </c>
    </row>
    <row r="25" spans="1:7" ht="27.6">
      <c r="A25" s="349">
        <v>17</v>
      </c>
      <c r="B25" s="353" t="s">
        <v>479</v>
      </c>
      <c r="C25" s="351"/>
      <c r="D25" s="355"/>
      <c r="E25" s="351"/>
      <c r="F25" s="351"/>
      <c r="G25" s="352"/>
    </row>
    <row r="26" spans="1:7" ht="27.6">
      <c r="A26" s="349">
        <v>18</v>
      </c>
      <c r="B26" s="353" t="s">
        <v>480</v>
      </c>
      <c r="C26" s="351">
        <v>32778094</v>
      </c>
      <c r="D26" s="355"/>
      <c r="E26" s="351"/>
      <c r="F26" s="351"/>
      <c r="G26" s="352">
        <v>4916714.0820000004</v>
      </c>
    </row>
    <row r="27" spans="1:7">
      <c r="A27" s="349">
        <v>19</v>
      </c>
      <c r="B27" s="353" t="s">
        <v>481</v>
      </c>
      <c r="C27" s="351"/>
      <c r="D27" s="355">
        <v>602820080.34142888</v>
      </c>
      <c r="E27" s="351">
        <v>215347848.2177316</v>
      </c>
      <c r="F27" s="351">
        <v>1045058259.4348073</v>
      </c>
      <c r="G27" s="352">
        <v>1297383484.7991664</v>
      </c>
    </row>
    <row r="28" spans="1:7">
      <c r="A28" s="349">
        <v>20</v>
      </c>
      <c r="B28" s="363" t="s">
        <v>482</v>
      </c>
      <c r="C28" s="351"/>
      <c r="D28" s="355"/>
      <c r="E28" s="351"/>
      <c r="F28" s="351"/>
      <c r="G28" s="352"/>
    </row>
    <row r="29" spans="1:7">
      <c r="A29" s="349">
        <v>21</v>
      </c>
      <c r="B29" s="353" t="s">
        <v>483</v>
      </c>
      <c r="C29" s="351"/>
      <c r="D29" s="355">
        <v>12612316.931192076</v>
      </c>
      <c r="E29" s="351">
        <v>2053724.8353398433</v>
      </c>
      <c r="F29" s="351">
        <v>84006605.221980408</v>
      </c>
      <c r="G29" s="352">
        <v>61937314.277553223</v>
      </c>
    </row>
    <row r="30" spans="1:7">
      <c r="A30" s="349">
        <v>22</v>
      </c>
      <c r="B30" s="363" t="s">
        <v>482</v>
      </c>
      <c r="C30" s="351"/>
      <c r="D30" s="355">
        <v>12612316.931192076</v>
      </c>
      <c r="E30" s="351">
        <v>2053724.8353398433</v>
      </c>
      <c r="F30" s="351">
        <v>84006605.221980408</v>
      </c>
      <c r="G30" s="352">
        <v>61937314.277553223</v>
      </c>
    </row>
    <row r="31" spans="1:7" ht="27.6">
      <c r="A31" s="349">
        <v>23</v>
      </c>
      <c r="B31" s="353" t="s">
        <v>484</v>
      </c>
      <c r="C31" s="351"/>
      <c r="D31" s="355"/>
      <c r="E31" s="351"/>
      <c r="F31" s="351">
        <v>965061.85000000009</v>
      </c>
      <c r="G31" s="352">
        <v>820302.57250000001</v>
      </c>
    </row>
    <row r="32" spans="1:7">
      <c r="A32" s="349">
        <v>24</v>
      </c>
      <c r="B32" s="350" t="s">
        <v>485</v>
      </c>
      <c r="C32" s="351"/>
      <c r="D32" s="355"/>
      <c r="E32" s="351"/>
      <c r="F32" s="351"/>
      <c r="G32" s="352"/>
    </row>
    <row r="33" spans="1:7">
      <c r="A33" s="349">
        <v>25</v>
      </c>
      <c r="B33" s="350" t="s">
        <v>102</v>
      </c>
      <c r="C33" s="351">
        <f>SUM(C34:C35)</f>
        <v>88442579</v>
      </c>
      <c r="D33" s="740">
        <f>SUM(D34:D35)</f>
        <v>15326232.7961473</v>
      </c>
      <c r="E33" s="740">
        <f>SUM(E34:E35)</f>
        <v>12056186.788111325</v>
      </c>
      <c r="F33" s="740">
        <f>SUM(F34:F35)</f>
        <v>47252700.082568832</v>
      </c>
      <c r="G33" s="352">
        <f>SUM(G34:G35)</f>
        <v>149200748.8905496</v>
      </c>
    </row>
    <row r="34" spans="1:7">
      <c r="A34" s="349">
        <v>26</v>
      </c>
      <c r="B34" s="353" t="s">
        <v>486</v>
      </c>
      <c r="C34" s="354"/>
      <c r="D34" s="355">
        <v>690577.37</v>
      </c>
      <c r="E34" s="351"/>
      <c r="F34" s="351"/>
      <c r="G34" s="352">
        <v>690577.37</v>
      </c>
    </row>
    <row r="35" spans="1:7">
      <c r="A35" s="349">
        <v>27</v>
      </c>
      <c r="B35" s="353" t="s">
        <v>487</v>
      </c>
      <c r="C35" s="351">
        <v>88442579</v>
      </c>
      <c r="D35" s="355">
        <v>14635655.426147301</v>
      </c>
      <c r="E35" s="351">
        <v>12056186.788111325</v>
      </c>
      <c r="F35" s="351">
        <v>47252700.082568832</v>
      </c>
      <c r="G35" s="352">
        <v>148510171.5205496</v>
      </c>
    </row>
    <row r="36" spans="1:7">
      <c r="A36" s="349">
        <v>28</v>
      </c>
      <c r="B36" s="350" t="s">
        <v>488</v>
      </c>
      <c r="C36" s="351">
        <v>36333967</v>
      </c>
      <c r="D36" s="355"/>
      <c r="E36" s="351"/>
      <c r="F36" s="351">
        <v>29311270</v>
      </c>
      <c r="G36" s="352">
        <v>3282261.8585000001</v>
      </c>
    </row>
    <row r="37" spans="1:7">
      <c r="A37" s="356">
        <v>29</v>
      </c>
      <c r="B37" s="357" t="s">
        <v>489</v>
      </c>
      <c r="C37" s="354"/>
      <c r="D37" s="354"/>
      <c r="E37" s="354"/>
      <c r="F37" s="354"/>
      <c r="G37" s="745">
        <f>SUM(G23:G24,G32:G33,G36)</f>
        <v>1520451280.6164193</v>
      </c>
    </row>
    <row r="38" spans="1:7">
      <c r="A38" s="345"/>
      <c r="B38" s="364"/>
      <c r="C38" s="365"/>
      <c r="D38" s="365"/>
      <c r="E38" s="365"/>
      <c r="F38" s="365"/>
      <c r="G38" s="366"/>
    </row>
    <row r="39" spans="1:7" ht="15" thickBot="1">
      <c r="A39" s="367">
        <v>30</v>
      </c>
      <c r="B39" s="368" t="s">
        <v>457</v>
      </c>
      <c r="C39" s="236"/>
      <c r="D39" s="220"/>
      <c r="E39" s="220"/>
      <c r="F39" s="369"/>
      <c r="G39" s="370">
        <f>IFERROR(G21/G37,0)</f>
        <v>1.1661980175812467</v>
      </c>
    </row>
    <row r="42" spans="1:7" ht="41.4">
      <c r="B42" s="17" t="s">
        <v>490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23" activePane="bottomRight" state="frozen"/>
      <selection pane="topRight" activeCell="B1" sqref="B1"/>
      <selection pane="bottomLeft" activeCell="A6" sqref="A6"/>
      <selection pane="bottomRight" activeCell="K46" sqref="K46:L48"/>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2.77734375" customWidth="1"/>
    <col min="13" max="13" width="6.77734375" customWidth="1"/>
  </cols>
  <sheetData>
    <row r="1" spans="1:12">
      <c r="A1" s="13" t="s">
        <v>111</v>
      </c>
      <c r="B1" s="307" t="str">
        <f>Info!C2</f>
        <v>სს "კრედო ბანკი"</v>
      </c>
    </row>
    <row r="2" spans="1:12">
      <c r="A2" s="13" t="s">
        <v>112</v>
      </c>
      <c r="B2" s="338">
        <v>45382</v>
      </c>
    </row>
    <row r="3" spans="1:12" ht="15" thickBot="1">
      <c r="A3" s="13"/>
    </row>
    <row r="4" spans="1:12" ht="15" thickBot="1">
      <c r="A4" s="33" t="s">
        <v>256</v>
      </c>
      <c r="B4" s="140" t="s">
        <v>143</v>
      </c>
      <c r="C4" s="141"/>
      <c r="D4" s="760" t="s">
        <v>950</v>
      </c>
      <c r="E4" s="761"/>
      <c r="F4" s="761"/>
      <c r="G4" s="762"/>
      <c r="I4" s="763" t="s">
        <v>951</v>
      </c>
      <c r="J4" s="764"/>
      <c r="K4" s="764"/>
      <c r="L4" s="765"/>
    </row>
    <row r="5" spans="1:12">
      <c r="A5" s="206" t="s">
        <v>27</v>
      </c>
      <c r="B5" s="207"/>
      <c r="C5" s="327" t="str">
        <f>INT((MONTH($B$2))/3)&amp;"Q"&amp;"-"&amp;YEAR($B$2)</f>
        <v>1Q-2024</v>
      </c>
      <c r="D5" s="327" t="str">
        <f>IF(INT(MONTH($B$2))=3, "4"&amp;"Q"&amp;"-"&amp;YEAR($B$2)-1, IF(INT(MONTH($B$2))=6, "1"&amp;"Q"&amp;"-"&amp;YEAR($B$2), IF(INT(MONTH($B$2))=9, "2"&amp;"Q"&amp;"-"&amp;YEAR($B$2),IF(INT(MONTH($B$2))=12, "3"&amp;"Q"&amp;"-"&amp;YEAR($B$2), 0))))</f>
        <v>4Q-2023</v>
      </c>
      <c r="E5" s="327" t="str">
        <f>IF(INT(MONTH($B$2))=3, "3"&amp;"Q"&amp;"-"&amp;YEAR($B$2)-1, IF(INT(MONTH($B$2))=6, "4"&amp;"Q"&amp;"-"&amp;YEAR($B$2)-1, IF(INT(MONTH($B$2))=9, "1"&amp;"Q"&amp;"-"&amp;YEAR($B$2),IF(INT(MONTH($B$2))=12, "2"&amp;"Q"&amp;"-"&amp;YEAR($B$2), 0))))</f>
        <v>3Q-2023</v>
      </c>
      <c r="F5" s="327" t="str">
        <f>IF(INT(MONTH($B$2))=3, "2"&amp;"Q"&amp;"-"&amp;YEAR($B$2)-1, IF(INT(MONTH($B$2))=6, "3"&amp;"Q"&amp;"-"&amp;YEAR($B$2)-1, IF(INT(MONTH($B$2))=9, "4"&amp;"Q"&amp;"-"&amp;YEAR($B$2)-1,IF(INT(MONTH($B$2))=12, "1"&amp;"Q"&amp;"-"&amp;YEAR($B$2), 0))))</f>
        <v>2Q-2023</v>
      </c>
      <c r="G5" s="328" t="str">
        <f>IF(INT(MONTH($B$2))=3, "1"&amp;"Q"&amp;"-"&amp;YEAR($B$2)-1, IF(INT(MONTH($B$2))=6, "2"&amp;"Q"&amp;"-"&amp;YEAR($B$2)-1, IF(INT(MONTH($B$2))=9, "3"&amp;"Q"&amp;"-"&amp;YEAR($B$2)-1,IF(INT(MONTH($B$2))=12, "4"&amp;"Q"&amp;"-"&amp;YEAR($B$2)-1, 0))))</f>
        <v>1Q-2023</v>
      </c>
      <c r="I5" s="616" t="str">
        <f>D5</f>
        <v>4Q-2023</v>
      </c>
      <c r="J5" s="327" t="str">
        <f t="shared" ref="J5:L5" si="0">E5</f>
        <v>3Q-2023</v>
      </c>
      <c r="K5" s="327" t="str">
        <f t="shared" si="0"/>
        <v>2Q-2023</v>
      </c>
      <c r="L5" s="328" t="str">
        <f t="shared" si="0"/>
        <v>1Q-2023</v>
      </c>
    </row>
    <row r="6" spans="1:12">
      <c r="A6" s="329"/>
      <c r="B6" s="330" t="s">
        <v>109</v>
      </c>
      <c r="C6" s="208"/>
      <c r="D6" s="208"/>
      <c r="E6" s="208"/>
      <c r="F6" s="208"/>
      <c r="G6" s="209"/>
      <c r="I6" s="617"/>
      <c r="J6" s="208"/>
      <c r="K6" s="208"/>
      <c r="L6" s="209"/>
    </row>
    <row r="7" spans="1:12">
      <c r="A7" s="329"/>
      <c r="B7" s="331" t="s">
        <v>113</v>
      </c>
      <c r="C7" s="208"/>
      <c r="D7" s="208"/>
      <c r="E7" s="208"/>
      <c r="F7" s="208"/>
      <c r="G7" s="209"/>
      <c r="I7" s="617"/>
      <c r="J7" s="208"/>
      <c r="K7" s="208"/>
      <c r="L7" s="209"/>
    </row>
    <row r="8" spans="1:12">
      <c r="A8" s="311">
        <v>1</v>
      </c>
      <c r="B8" s="312" t="s">
        <v>24</v>
      </c>
      <c r="C8" s="332">
        <v>294760030.40000677</v>
      </c>
      <c r="D8" s="647">
        <v>282252213.47002703</v>
      </c>
      <c r="E8" s="648">
        <v>273581181.16999578</v>
      </c>
      <c r="F8" s="648">
        <v>260667992.61999992</v>
      </c>
      <c r="G8" s="648">
        <v>249275771.72</v>
      </c>
      <c r="I8" s="618"/>
      <c r="J8" s="619"/>
      <c r="K8" s="648">
        <v>238102682.34000072</v>
      </c>
      <c r="L8" s="648">
        <v>227329233.36999953</v>
      </c>
    </row>
    <row r="9" spans="1:12">
      <c r="A9" s="311">
        <v>2</v>
      </c>
      <c r="B9" s="312" t="s">
        <v>89</v>
      </c>
      <c r="C9" s="332">
        <v>294760030.40000677</v>
      </c>
      <c r="D9" s="647">
        <v>282252213.47002703</v>
      </c>
      <c r="E9" s="648">
        <v>273581181.16999578</v>
      </c>
      <c r="F9" s="648">
        <v>260667992.61999992</v>
      </c>
      <c r="G9" s="648">
        <v>249275771.72</v>
      </c>
      <c r="I9" s="618"/>
      <c r="J9" s="619"/>
      <c r="K9" s="648">
        <v>238102682.34000072</v>
      </c>
      <c r="L9" s="648">
        <v>227329233.36999953</v>
      </c>
    </row>
    <row r="10" spans="1:12">
      <c r="A10" s="311">
        <v>3</v>
      </c>
      <c r="B10" s="312" t="s">
        <v>88</v>
      </c>
      <c r="C10" s="332">
        <v>386387595.40000677</v>
      </c>
      <c r="D10" s="647">
        <v>376832935.47002703</v>
      </c>
      <c r="E10" s="648">
        <v>348715297.16999578</v>
      </c>
      <c r="F10" s="648">
        <v>339370410.61999989</v>
      </c>
      <c r="G10" s="648">
        <v>326164029.72000003</v>
      </c>
      <c r="I10" s="618"/>
      <c r="J10" s="619"/>
      <c r="K10" s="648">
        <v>337198825.76114929</v>
      </c>
      <c r="L10" s="648">
        <v>323841615.06906784</v>
      </c>
    </row>
    <row r="11" spans="1:12">
      <c r="A11" s="311">
        <v>4</v>
      </c>
      <c r="B11" s="312" t="s">
        <v>449</v>
      </c>
      <c r="C11" s="332">
        <v>235221441.97906715</v>
      </c>
      <c r="D11" s="647">
        <v>223619344.16650155</v>
      </c>
      <c r="E11" s="648">
        <v>211366153.40843534</v>
      </c>
      <c r="F11" s="648">
        <v>206145177.04826996</v>
      </c>
      <c r="G11" s="648">
        <v>197630429.46356279</v>
      </c>
      <c r="I11" s="618"/>
      <c r="J11" s="619"/>
      <c r="K11" s="648">
        <v>176489743.36682165</v>
      </c>
      <c r="L11" s="648">
        <v>172140990.82947937</v>
      </c>
    </row>
    <row r="12" spans="1:12">
      <c r="A12" s="311">
        <v>5</v>
      </c>
      <c r="B12" s="312" t="s">
        <v>450</v>
      </c>
      <c r="C12" s="332">
        <v>280986650.92338198</v>
      </c>
      <c r="D12" s="647">
        <v>268498759.33575952</v>
      </c>
      <c r="E12" s="648">
        <v>253060191.63724506</v>
      </c>
      <c r="F12" s="648">
        <v>246974104.80373019</v>
      </c>
      <c r="G12" s="648">
        <v>237258757.57883739</v>
      </c>
      <c r="I12" s="618"/>
      <c r="J12" s="619"/>
      <c r="K12" s="648">
        <v>218714358.1203261</v>
      </c>
      <c r="L12" s="648">
        <v>213319510.62380606</v>
      </c>
    </row>
    <row r="13" spans="1:12">
      <c r="A13" s="311">
        <v>6</v>
      </c>
      <c r="B13" s="312" t="s">
        <v>451</v>
      </c>
      <c r="C13" s="332">
        <v>341780044.03136235</v>
      </c>
      <c r="D13" s="647">
        <v>328114982.32836872</v>
      </c>
      <c r="E13" s="648">
        <v>308445062.24420512</v>
      </c>
      <c r="F13" s="648">
        <v>301209566.78413063</v>
      </c>
      <c r="G13" s="648">
        <v>289894568.45340198</v>
      </c>
      <c r="I13" s="618"/>
      <c r="J13" s="619"/>
      <c r="K13" s="648">
        <v>274804064.26633006</v>
      </c>
      <c r="L13" s="648">
        <v>268019862.51069021</v>
      </c>
    </row>
    <row r="14" spans="1:12">
      <c r="A14" s="329"/>
      <c r="B14" s="330" t="s">
        <v>453</v>
      </c>
      <c r="C14" s="208"/>
      <c r="D14" s="208"/>
      <c r="E14" s="208"/>
      <c r="F14" s="208"/>
      <c r="G14" s="209"/>
      <c r="I14" s="617"/>
      <c r="J14" s="208"/>
      <c r="K14" s="208"/>
      <c r="L14" s="208"/>
    </row>
    <row r="15" spans="1:12" ht="22.05" customHeight="1">
      <c r="A15" s="311">
        <v>7</v>
      </c>
      <c r="B15" s="312" t="s">
        <v>452</v>
      </c>
      <c r="C15" s="333">
        <v>2188849088.750977</v>
      </c>
      <c r="D15" s="649">
        <v>2144983701.6647725</v>
      </c>
      <c r="E15" s="619">
        <v>1992317162.3594787</v>
      </c>
      <c r="F15" s="619">
        <v>1950116748.2201159</v>
      </c>
      <c r="G15" s="619">
        <v>1893374491.8908103</v>
      </c>
      <c r="I15" s="618"/>
      <c r="J15" s="619"/>
      <c r="K15" s="619">
        <v>2017809587.2925699</v>
      </c>
      <c r="L15" s="619">
        <v>1968738198.5261486</v>
      </c>
    </row>
    <row r="16" spans="1:12">
      <c r="A16" s="329"/>
      <c r="B16" s="330" t="s">
        <v>456</v>
      </c>
      <c r="C16" s="208"/>
      <c r="D16" s="208"/>
      <c r="E16" s="208"/>
      <c r="F16" s="208"/>
      <c r="G16" s="209"/>
      <c r="I16" s="617"/>
      <c r="J16" s="208"/>
      <c r="K16" s="208"/>
      <c r="L16" s="208"/>
    </row>
    <row r="17" spans="1:12">
      <c r="A17" s="311"/>
      <c r="B17" s="331" t="s">
        <v>439</v>
      </c>
      <c r="C17" s="208"/>
      <c r="D17" s="208"/>
      <c r="E17" s="208"/>
      <c r="F17" s="208"/>
      <c r="G17" s="209"/>
      <c r="I17" s="617"/>
      <c r="J17" s="208"/>
      <c r="K17" s="208"/>
      <c r="L17" s="208"/>
    </row>
    <row r="18" spans="1:12">
      <c r="A18" s="311">
        <v>8</v>
      </c>
      <c r="B18" s="312" t="s">
        <v>447</v>
      </c>
      <c r="C18" s="339">
        <v>0.13466439139858916</v>
      </c>
      <c r="D18" s="650">
        <v>0.13158711334308248</v>
      </c>
      <c r="E18" s="621">
        <v>0.13731808686825581</v>
      </c>
      <c r="F18" s="621">
        <v>0.13366789083674774</v>
      </c>
      <c r="G18" s="621">
        <v>0.13165687653849284</v>
      </c>
      <c r="I18" s="620"/>
      <c r="J18" s="621"/>
      <c r="K18" s="621">
        <v>0.11800057044008747</v>
      </c>
      <c r="L18" s="621">
        <v>0.11546950912019914</v>
      </c>
    </row>
    <row r="19" spans="1:12" ht="15" customHeight="1">
      <c r="A19" s="311">
        <v>9</v>
      </c>
      <c r="B19" s="312" t="s">
        <v>446</v>
      </c>
      <c r="C19" s="339">
        <v>0.13466439139858916</v>
      </c>
      <c r="D19" s="650">
        <v>0.13158711334308248</v>
      </c>
      <c r="E19" s="621">
        <v>0.13731808686825581</v>
      </c>
      <c r="F19" s="621">
        <v>0.13366789083674774</v>
      </c>
      <c r="G19" s="621">
        <v>0.13165687653849284</v>
      </c>
      <c r="I19" s="620"/>
      <c r="J19" s="621"/>
      <c r="K19" s="621">
        <v>0.11800057044008747</v>
      </c>
      <c r="L19" s="621">
        <v>0.11546950912019914</v>
      </c>
    </row>
    <row r="20" spans="1:12">
      <c r="A20" s="311">
        <v>10</v>
      </c>
      <c r="B20" s="312" t="s">
        <v>448</v>
      </c>
      <c r="C20" s="339">
        <v>0.17652546143347467</v>
      </c>
      <c r="D20" s="650">
        <v>0.17568102507145303</v>
      </c>
      <c r="E20" s="621">
        <v>0.17503001216784991</v>
      </c>
      <c r="F20" s="621">
        <v>0.17402568893874967</v>
      </c>
      <c r="G20" s="621">
        <v>0.17226598917273769</v>
      </c>
      <c r="I20" s="620"/>
      <c r="J20" s="621"/>
      <c r="K20" s="621">
        <v>0.16711132105066043</v>
      </c>
      <c r="L20" s="621">
        <v>0.16449196511324082</v>
      </c>
    </row>
    <row r="21" spans="1:12">
      <c r="A21" s="311">
        <v>11</v>
      </c>
      <c r="B21" s="312" t="s">
        <v>449</v>
      </c>
      <c r="C21" s="339">
        <v>0.10746352646599842</v>
      </c>
      <c r="D21" s="651">
        <v>0.10427227140458992</v>
      </c>
      <c r="E21" s="621">
        <v>0.10609061518793181</v>
      </c>
      <c r="F21" s="621">
        <v>0.10570914650952051</v>
      </c>
      <c r="G21" s="621">
        <v>0.10438</v>
      </c>
      <c r="I21" s="620"/>
      <c r="J21" s="621"/>
      <c r="K21" s="621">
        <v>8.7466004958193178E-2</v>
      </c>
      <c r="L21" s="621">
        <v>8.7437217888264085E-2</v>
      </c>
    </row>
    <row r="22" spans="1:12">
      <c r="A22" s="311">
        <v>12</v>
      </c>
      <c r="B22" s="312" t="s">
        <v>450</v>
      </c>
      <c r="C22" s="339">
        <v>0.12837187011541368</v>
      </c>
      <c r="D22" s="651">
        <v>0.12519925594812636</v>
      </c>
      <c r="E22" s="621">
        <v>0.12701802524878519</v>
      </c>
      <c r="F22" s="621">
        <v>0.12664580468279402</v>
      </c>
      <c r="G22" s="621">
        <v>0.12530999999999998</v>
      </c>
      <c r="I22" s="620"/>
      <c r="J22" s="621"/>
      <c r="K22" s="621">
        <v>0.10839197092615155</v>
      </c>
      <c r="L22" s="621">
        <v>0.10835341681463939</v>
      </c>
    </row>
    <row r="23" spans="1:12">
      <c r="A23" s="311">
        <v>13</v>
      </c>
      <c r="B23" s="312" t="s">
        <v>451</v>
      </c>
      <c r="C23" s="339">
        <v>0.15614600649622323</v>
      </c>
      <c r="D23" s="651">
        <v>0.1529979198212007</v>
      </c>
      <c r="E23" s="621">
        <v>0.15481724901306598</v>
      </c>
      <c r="F23" s="621">
        <v>0.15445719701604868</v>
      </c>
      <c r="G23" s="621">
        <v>0.15311000000000002</v>
      </c>
      <c r="I23" s="620"/>
      <c r="J23" s="621"/>
      <c r="K23" s="621">
        <v>0.13618929456820209</v>
      </c>
      <c r="L23" s="621">
        <v>0.13613788908618588</v>
      </c>
    </row>
    <row r="24" spans="1:12">
      <c r="A24" s="329"/>
      <c r="B24" s="330" t="s">
        <v>7</v>
      </c>
      <c r="C24" s="208"/>
      <c r="D24" s="208"/>
      <c r="E24" s="208"/>
      <c r="F24" s="208"/>
      <c r="G24" s="209"/>
      <c r="I24" s="617"/>
      <c r="J24" s="208"/>
      <c r="K24" s="208"/>
      <c r="L24" s="208"/>
    </row>
    <row r="25" spans="1:12" ht="15" customHeight="1">
      <c r="A25" s="334">
        <v>14</v>
      </c>
      <c r="B25" s="335" t="s">
        <v>8</v>
      </c>
      <c r="C25" s="686">
        <v>0.19471331239746859</v>
      </c>
      <c r="D25" s="652">
        <v>0.19844300818259863</v>
      </c>
      <c r="E25" s="652">
        <v>0.20165843052568264</v>
      </c>
      <c r="F25" s="652">
        <v>0.19999527941386908</v>
      </c>
      <c r="G25" s="653">
        <v>0.19869999999999999</v>
      </c>
      <c r="I25" s="622"/>
      <c r="J25" s="623"/>
      <c r="K25" s="656">
        <v>0.16472293116836484</v>
      </c>
      <c r="L25" s="656">
        <v>0.16516382001352556</v>
      </c>
    </row>
    <row r="26" spans="1:12">
      <c r="A26" s="334">
        <v>15</v>
      </c>
      <c r="B26" s="335" t="s">
        <v>9</v>
      </c>
      <c r="C26" s="686">
        <v>8.4122770748092768E-2</v>
      </c>
      <c r="D26" s="652">
        <v>8.8097851768275032E-2</v>
      </c>
      <c r="E26" s="652">
        <v>8.8709309573833328E-2</v>
      </c>
      <c r="F26" s="652">
        <v>8.9230553744010108E-2</v>
      </c>
      <c r="G26" s="653">
        <v>8.9499999999999996E-2</v>
      </c>
      <c r="I26" s="622"/>
      <c r="J26" s="623"/>
      <c r="K26" s="656">
        <v>8.698686307012729E-2</v>
      </c>
      <c r="L26" s="656">
        <v>8.7022423581187697E-2</v>
      </c>
    </row>
    <row r="27" spans="1:12">
      <c r="A27" s="334">
        <v>16</v>
      </c>
      <c r="B27" s="335" t="s">
        <v>10</v>
      </c>
      <c r="C27" s="686">
        <v>5.2486735611213073E-2</v>
      </c>
      <c r="D27" s="652">
        <v>5.3579218956215487E-2</v>
      </c>
      <c r="E27" s="652">
        <v>4.8751558674860834E-2</v>
      </c>
      <c r="F27" s="652">
        <v>4.535246578869833E-2</v>
      </c>
      <c r="G27" s="653">
        <v>4.3799999999999999E-2</v>
      </c>
      <c r="I27" s="622"/>
      <c r="J27" s="623"/>
      <c r="K27" s="656">
        <v>3.2228817310131372E-2</v>
      </c>
      <c r="L27" s="656">
        <v>4.0038876592750676E-2</v>
      </c>
    </row>
    <row r="28" spans="1:12">
      <c r="A28" s="334">
        <v>17</v>
      </c>
      <c r="B28" s="335" t="s">
        <v>144</v>
      </c>
      <c r="C28" s="686">
        <v>0.11059054164937582</v>
      </c>
      <c r="D28" s="652">
        <v>0.1103451564143236</v>
      </c>
      <c r="E28" s="652">
        <v>0.11294912095184928</v>
      </c>
      <c r="F28" s="652">
        <v>0.11076472566985895</v>
      </c>
      <c r="G28" s="653">
        <v>0.10919999999999999</v>
      </c>
      <c r="I28" s="622"/>
      <c r="J28" s="623"/>
      <c r="K28" s="656">
        <v>7.7736068098237535E-2</v>
      </c>
      <c r="L28" s="656">
        <v>7.8141396432337862E-2</v>
      </c>
    </row>
    <row r="29" spans="1:12">
      <c r="A29" s="334">
        <v>18</v>
      </c>
      <c r="B29" s="335" t="s">
        <v>11</v>
      </c>
      <c r="C29" s="686">
        <v>1.7735109302061541E-2</v>
      </c>
      <c r="D29" s="652">
        <v>1.71543416866742E-2</v>
      </c>
      <c r="E29" s="652">
        <v>1.5755517094875125E-2</v>
      </c>
      <c r="F29" s="652">
        <v>1.2539140240782745E-2</v>
      </c>
      <c r="G29" s="653">
        <v>9.1999999999999998E-3</v>
      </c>
      <c r="I29" s="622"/>
      <c r="J29" s="623"/>
      <c r="K29" s="656">
        <v>2.1427121222337031E-2</v>
      </c>
      <c r="L29" s="656">
        <v>2.7364499316997783E-2</v>
      </c>
    </row>
    <row r="30" spans="1:12">
      <c r="A30" s="334">
        <v>19</v>
      </c>
      <c r="B30" s="335" t="s">
        <v>12</v>
      </c>
      <c r="C30" s="686">
        <v>0.14134815594655317</v>
      </c>
      <c r="D30" s="652">
        <v>0.13904267442844001</v>
      </c>
      <c r="E30" s="652">
        <v>0.12818915166632455</v>
      </c>
      <c r="F30" s="652">
        <v>0.10215598934812109</v>
      </c>
      <c r="G30" s="653">
        <v>7.4800000000000005E-2</v>
      </c>
      <c r="I30" s="622"/>
      <c r="J30" s="623"/>
      <c r="K30" s="656">
        <v>0.19558561384584894</v>
      </c>
      <c r="L30" s="656">
        <v>0.25243818124239986</v>
      </c>
    </row>
    <row r="31" spans="1:12">
      <c r="A31" s="329"/>
      <c r="B31" s="330" t="s">
        <v>13</v>
      </c>
      <c r="C31" s="208"/>
      <c r="D31" s="208"/>
      <c r="E31" s="208"/>
      <c r="F31" s="208"/>
      <c r="G31" s="209"/>
      <c r="I31" s="617"/>
      <c r="J31" s="208"/>
      <c r="K31" s="208"/>
      <c r="L31" s="208"/>
    </row>
    <row r="32" spans="1:12">
      <c r="A32" s="334">
        <v>20</v>
      </c>
      <c r="B32" s="335" t="s">
        <v>14</v>
      </c>
      <c r="C32" s="686">
        <v>8.1219588336098412E-3</v>
      </c>
      <c r="D32" s="654">
        <v>9.7530832598432034E-3</v>
      </c>
      <c r="E32" s="655">
        <v>7.4144834285758739E-3</v>
      </c>
      <c r="F32" s="655">
        <v>7.7999999999999996E-3</v>
      </c>
      <c r="G32" s="655">
        <v>8.5000000000000006E-3</v>
      </c>
      <c r="I32" s="622"/>
      <c r="J32" s="623"/>
      <c r="K32" s="656">
        <v>1.9863989380456613E-2</v>
      </c>
      <c r="L32" s="656">
        <v>1.9599999999999999E-2</v>
      </c>
    </row>
    <row r="33" spans="1:12" ht="15" customHeight="1">
      <c r="A33" s="334">
        <v>21</v>
      </c>
      <c r="B33" s="335" t="s">
        <v>15</v>
      </c>
      <c r="C33" s="686">
        <v>2.1194038964220549E-2</v>
      </c>
      <c r="D33" s="654">
        <v>2.1495102154491498E-2</v>
      </c>
      <c r="E33" s="656">
        <v>2.1419550833918735E-2</v>
      </c>
      <c r="F33" s="656">
        <v>2.1999999999999999E-2</v>
      </c>
      <c r="G33" s="656">
        <v>2.41E-2</v>
      </c>
      <c r="I33" s="622"/>
      <c r="J33" s="623"/>
      <c r="K33" s="656">
        <v>3.0701935911251893E-2</v>
      </c>
      <c r="L33" s="656">
        <v>3.2106452602982609E-2</v>
      </c>
    </row>
    <row r="34" spans="1:12">
      <c r="A34" s="334">
        <v>22</v>
      </c>
      <c r="B34" s="335" t="s">
        <v>16</v>
      </c>
      <c r="C34" s="686">
        <v>0.10045865201514509</v>
      </c>
      <c r="D34" s="654">
        <v>0.10338967450284264</v>
      </c>
      <c r="E34" s="656">
        <v>0.10351869435446093</v>
      </c>
      <c r="F34" s="656">
        <v>0.1048</v>
      </c>
      <c r="G34" s="656">
        <v>0.1047</v>
      </c>
      <c r="I34" s="622"/>
      <c r="J34" s="623"/>
      <c r="K34" s="656">
        <v>0.10448446454123435</v>
      </c>
      <c r="L34" s="656">
        <v>0.10440000000000001</v>
      </c>
    </row>
    <row r="35" spans="1:12" ht="15" customHeight="1">
      <c r="A35" s="334">
        <v>23</v>
      </c>
      <c r="B35" s="335" t="s">
        <v>17</v>
      </c>
      <c r="C35" s="686">
        <v>0.14234189175559583</v>
      </c>
      <c r="D35" s="654">
        <v>0.15449997552386294</v>
      </c>
      <c r="E35" s="656">
        <v>0.16217350737877462</v>
      </c>
      <c r="F35" s="656">
        <v>0.15959999999999999</v>
      </c>
      <c r="G35" s="656">
        <v>0.1651</v>
      </c>
      <c r="I35" s="622"/>
      <c r="J35" s="623"/>
      <c r="K35" s="656">
        <v>0.15763967398674023</v>
      </c>
      <c r="L35" s="656">
        <v>0.16300000000000001</v>
      </c>
    </row>
    <row r="36" spans="1:12">
      <c r="A36" s="334">
        <v>24</v>
      </c>
      <c r="B36" s="335" t="s">
        <v>18</v>
      </c>
      <c r="C36" s="686">
        <v>3.0171373791620715E-2</v>
      </c>
      <c r="D36" s="654">
        <v>0.12972628367582595</v>
      </c>
      <c r="E36" s="656">
        <v>6.9868414348527752E-2</v>
      </c>
      <c r="F36" s="656">
        <v>1.47E-2</v>
      </c>
      <c r="G36" s="656">
        <v>9.7000000000000003E-3</v>
      </c>
      <c r="I36" s="622"/>
      <c r="J36" s="623"/>
      <c r="K36" s="656">
        <v>4.3132208158023211E-2</v>
      </c>
      <c r="L36" s="656">
        <v>5.2700000000000004E-3</v>
      </c>
    </row>
    <row r="37" spans="1:12" ht="15" customHeight="1">
      <c r="A37" s="329"/>
      <c r="B37" s="330" t="s">
        <v>19</v>
      </c>
      <c r="C37" s="208"/>
      <c r="D37" s="208"/>
      <c r="E37" s="208"/>
      <c r="F37" s="208"/>
      <c r="G37" s="209"/>
      <c r="I37" s="617"/>
      <c r="J37" s="208"/>
      <c r="K37" s="208"/>
      <c r="L37" s="208"/>
    </row>
    <row r="38" spans="1:12" ht="15" customHeight="1">
      <c r="A38" s="334">
        <v>25</v>
      </c>
      <c r="B38" s="335" t="s">
        <v>20</v>
      </c>
      <c r="C38" s="686">
        <v>0.11453361552620851</v>
      </c>
      <c r="D38" s="657">
        <v>0.1157894550541905</v>
      </c>
      <c r="E38" s="654">
        <v>0.13885243177897869</v>
      </c>
      <c r="F38" s="654">
        <v>0.1237</v>
      </c>
      <c r="G38" s="654">
        <v>0.15390000000000001</v>
      </c>
      <c r="I38" s="624"/>
      <c r="J38" s="625"/>
      <c r="K38" s="654">
        <v>0.13306139921560961</v>
      </c>
      <c r="L38" s="654">
        <v>0.13250000000000001</v>
      </c>
    </row>
    <row r="39" spans="1:12" ht="15" customHeight="1">
      <c r="A39" s="334">
        <v>26</v>
      </c>
      <c r="B39" s="335" t="s">
        <v>21</v>
      </c>
      <c r="C39" s="686">
        <v>0.27592078848908108</v>
      </c>
      <c r="D39" s="654">
        <v>0.28190597541225704</v>
      </c>
      <c r="E39" s="654">
        <v>0.27619886094964935</v>
      </c>
      <c r="F39" s="654">
        <v>0.27900000000000003</v>
      </c>
      <c r="G39" s="654">
        <v>0.27389999999999998</v>
      </c>
      <c r="I39" s="624"/>
      <c r="J39" s="625"/>
      <c r="K39" s="654">
        <v>0.27400709540261015</v>
      </c>
      <c r="L39" s="654">
        <v>0.26879999999999998</v>
      </c>
    </row>
    <row r="40" spans="1:12" ht="15" customHeight="1">
      <c r="A40" s="334">
        <v>27</v>
      </c>
      <c r="B40" s="336" t="s">
        <v>22</v>
      </c>
      <c r="C40" s="686">
        <v>0.12405639796147981</v>
      </c>
      <c r="D40" s="654">
        <v>0.13196480147465034</v>
      </c>
      <c r="E40" s="654">
        <v>0.11626490808823245</v>
      </c>
      <c r="F40" s="654">
        <v>0.1143</v>
      </c>
      <c r="G40" s="654">
        <v>9.5200000000000007E-2</v>
      </c>
      <c r="I40" s="624"/>
      <c r="J40" s="625"/>
      <c r="K40" s="654">
        <v>0.11290332193742683</v>
      </c>
      <c r="L40" s="654">
        <v>9.3948753316354827E-2</v>
      </c>
    </row>
    <row r="41" spans="1:12" ht="15" customHeight="1">
      <c r="A41" s="337"/>
      <c r="B41" s="330" t="s">
        <v>360</v>
      </c>
      <c r="C41" s="208"/>
      <c r="D41" s="208"/>
      <c r="E41" s="208"/>
      <c r="F41" s="208"/>
      <c r="G41" s="209"/>
      <c r="I41" s="617"/>
      <c r="J41" s="208"/>
      <c r="K41" s="208"/>
      <c r="L41" s="208"/>
    </row>
    <row r="42" spans="1:12" ht="15" customHeight="1">
      <c r="A42" s="334">
        <v>28</v>
      </c>
      <c r="B42" s="374" t="s">
        <v>344</v>
      </c>
      <c r="C42" s="713">
        <v>286777207.70376343</v>
      </c>
      <c r="D42" s="658">
        <v>310366256.82059133</v>
      </c>
      <c r="E42" s="659">
        <v>297388065.41654223</v>
      </c>
      <c r="F42" s="659">
        <v>250231994.76926982</v>
      </c>
      <c r="G42" s="659">
        <v>286397601.06285328</v>
      </c>
      <c r="I42" s="624"/>
      <c r="J42" s="625"/>
      <c r="K42" s="667">
        <v>273697131.07999998</v>
      </c>
      <c r="L42" s="625">
        <v>250231994.76926982</v>
      </c>
    </row>
    <row r="43" spans="1:12">
      <c r="A43" s="334">
        <v>29</v>
      </c>
      <c r="B43" s="335" t="s">
        <v>345</v>
      </c>
      <c r="C43" s="713">
        <v>205992124.83978236</v>
      </c>
      <c r="D43" s="658">
        <v>190296632.22046226</v>
      </c>
      <c r="E43" s="660">
        <v>146641907.00037274</v>
      </c>
      <c r="F43" s="660">
        <v>134230427.80348599</v>
      </c>
      <c r="G43" s="660">
        <v>155335520.8722477</v>
      </c>
      <c r="I43" s="622"/>
      <c r="J43" s="623"/>
      <c r="K43" s="667">
        <v>144543917.90864196</v>
      </c>
      <c r="L43" s="623">
        <v>135321272.21771568</v>
      </c>
    </row>
    <row r="44" spans="1:12">
      <c r="A44" s="371">
        <v>30</v>
      </c>
      <c r="B44" s="372" t="s">
        <v>343</v>
      </c>
      <c r="C44" s="714">
        <v>1.3921755888814416</v>
      </c>
      <c r="D44" s="661">
        <v>1.6309603233599328</v>
      </c>
      <c r="E44" s="662">
        <v>2.0279882572434516</v>
      </c>
      <c r="F44" s="662">
        <v>1.8641972529180246</v>
      </c>
      <c r="G44" s="663">
        <v>1.8437354151494734</v>
      </c>
      <c r="I44" s="624"/>
      <c r="J44" s="625"/>
      <c r="K44" s="657">
        <v>1.893522294400436</v>
      </c>
      <c r="L44" s="654">
        <v>1.8491696883153492</v>
      </c>
    </row>
    <row r="45" spans="1:12">
      <c r="A45" s="371"/>
      <c r="B45" s="330" t="s">
        <v>457</v>
      </c>
      <c r="C45" s="208"/>
      <c r="D45" s="208"/>
      <c r="E45" s="208"/>
      <c r="F45" s="208"/>
      <c r="G45" s="209"/>
      <c r="I45" s="617"/>
      <c r="J45" s="208"/>
      <c r="K45" s="208"/>
      <c r="L45" s="208"/>
    </row>
    <row r="46" spans="1:12">
      <c r="A46" s="371">
        <v>31</v>
      </c>
      <c r="B46" s="372" t="s">
        <v>464</v>
      </c>
      <c r="C46" s="373">
        <v>1773147269.2837365</v>
      </c>
      <c r="D46" s="664">
        <v>1733165385.5043237</v>
      </c>
      <c r="E46" s="627">
        <v>1683962194.49</v>
      </c>
      <c r="F46" s="627">
        <v>1699059876.4952438</v>
      </c>
      <c r="G46" s="627">
        <v>1727302081.0853016</v>
      </c>
      <c r="I46" s="626"/>
      <c r="J46" s="627"/>
      <c r="K46" s="664">
        <v>1670552616.4387963</v>
      </c>
      <c r="L46" s="627">
        <v>1708303840.8290756</v>
      </c>
    </row>
    <row r="47" spans="1:12">
      <c r="A47" s="371">
        <v>32</v>
      </c>
      <c r="B47" s="372" t="s">
        <v>477</v>
      </c>
      <c r="C47" s="373">
        <v>1520451279.7750127</v>
      </c>
      <c r="D47" s="664">
        <v>1479507030.2746589</v>
      </c>
      <c r="E47" s="627">
        <v>1367414778.53</v>
      </c>
      <c r="F47" s="627">
        <v>1360891625.4603355</v>
      </c>
      <c r="G47" s="627">
        <v>1301909354.2163918</v>
      </c>
      <c r="I47" s="626"/>
      <c r="J47" s="627"/>
      <c r="K47" s="664">
        <v>1371227000.0091734</v>
      </c>
      <c r="L47" s="627">
        <v>1307961758.9002852</v>
      </c>
    </row>
    <row r="48" spans="1:12" ht="15" thickBot="1">
      <c r="A48" s="74">
        <v>33</v>
      </c>
      <c r="B48" s="163" t="s">
        <v>491</v>
      </c>
      <c r="C48" s="669">
        <v>1.1661980182266125</v>
      </c>
      <c r="D48" s="665">
        <v>1.1714478877349945</v>
      </c>
      <c r="E48" s="666">
        <v>1.231493341</v>
      </c>
      <c r="F48" s="666">
        <v>1.248490213848233</v>
      </c>
      <c r="G48" s="666">
        <v>1.3267452726191911</v>
      </c>
      <c r="I48" s="628"/>
      <c r="J48" s="629"/>
      <c r="K48" s="668">
        <v>1.2182903461116361</v>
      </c>
      <c r="L48" s="666">
        <v>1.3060808767569718</v>
      </c>
    </row>
    <row r="49" spans="1:2">
      <c r="A49" s="15"/>
    </row>
    <row r="50" spans="1:2" ht="41.4">
      <c r="B50" s="17" t="s">
        <v>959</v>
      </c>
    </row>
    <row r="51" spans="1:2" ht="69">
      <c r="B51" s="245" t="s">
        <v>359</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80" zoomScaleNormal="80" workbookViewId="0">
      <selection activeCell="H13" sqref="H13"/>
    </sheetView>
  </sheetViews>
  <sheetFormatPr defaultColWidth="9.21875" defaultRowHeight="12"/>
  <cols>
    <col min="1" max="1" width="11.77734375" style="380" bestFit="1" customWidth="1"/>
    <col min="2" max="2" width="105.21875" style="380" bestFit="1" customWidth="1"/>
    <col min="3" max="3" width="21.77734375" style="380" customWidth="1"/>
    <col min="4" max="4" width="22.109375" style="380" customWidth="1"/>
    <col min="5" max="5" width="17.33203125" style="380" bestFit="1" customWidth="1"/>
    <col min="6" max="6" width="25.5546875" style="380" customWidth="1"/>
    <col min="7" max="7" width="30.44140625" style="380" customWidth="1"/>
    <col min="8" max="8" width="15.21875" style="380" customWidth="1"/>
    <col min="9" max="16384" width="9.21875" style="380"/>
  </cols>
  <sheetData>
    <row r="1" spans="1:8" ht="13.8">
      <c r="A1" s="379" t="s">
        <v>111</v>
      </c>
      <c r="B1" s="307" t="str">
        <f>Info!C2</f>
        <v>სს "კრედო ბანკი"</v>
      </c>
    </row>
    <row r="2" spans="1:8">
      <c r="A2" s="379" t="s">
        <v>112</v>
      </c>
      <c r="B2" s="382">
        <f>'1. key ratios'!B2</f>
        <v>45382</v>
      </c>
    </row>
    <row r="3" spans="1:8">
      <c r="A3" s="381" t="s">
        <v>497</v>
      </c>
    </row>
    <row r="5" spans="1:8">
      <c r="A5" s="820" t="s">
        <v>498</v>
      </c>
      <c r="B5" s="821"/>
      <c r="C5" s="826" t="s">
        <v>499</v>
      </c>
      <c r="D5" s="827"/>
      <c r="E5" s="827"/>
      <c r="F5" s="827"/>
      <c r="G5" s="827"/>
      <c r="H5" s="828"/>
    </row>
    <row r="6" spans="1:8">
      <c r="A6" s="822"/>
      <c r="B6" s="823"/>
      <c r="C6" s="829"/>
      <c r="D6" s="830"/>
      <c r="E6" s="830"/>
      <c r="F6" s="830"/>
      <c r="G6" s="830"/>
      <c r="H6" s="831"/>
    </row>
    <row r="7" spans="1:8" ht="24">
      <c r="A7" s="824"/>
      <c r="B7" s="825"/>
      <c r="C7" s="494" t="s">
        <v>500</v>
      </c>
      <c r="D7" s="494" t="s">
        <v>501</v>
      </c>
      <c r="E7" s="494" t="s">
        <v>502</v>
      </c>
      <c r="F7" s="494" t="s">
        <v>503</v>
      </c>
      <c r="G7" s="494" t="s">
        <v>684</v>
      </c>
      <c r="H7" s="494" t="s">
        <v>68</v>
      </c>
    </row>
    <row r="8" spans="1:8">
      <c r="A8" s="490">
        <v>1</v>
      </c>
      <c r="B8" s="489" t="s">
        <v>137</v>
      </c>
      <c r="C8" s="690">
        <v>104005850</v>
      </c>
      <c r="D8" s="690">
        <v>3065971</v>
      </c>
      <c r="E8" s="690">
        <v>19301237</v>
      </c>
      <c r="F8" s="690"/>
      <c r="G8" s="690">
        <v>86230861</v>
      </c>
      <c r="H8" s="690">
        <f t="shared" ref="H8:H21" si="0">SUM(C8:G8)</f>
        <v>212603919</v>
      </c>
    </row>
    <row r="9" spans="1:8">
      <c r="A9" s="490">
        <v>2</v>
      </c>
      <c r="B9" s="489" t="s">
        <v>138</v>
      </c>
      <c r="C9" s="690"/>
      <c r="D9" s="690"/>
      <c r="E9" s="690"/>
      <c r="F9" s="690"/>
      <c r="G9" s="690"/>
      <c r="H9" s="690">
        <f t="shared" si="0"/>
        <v>0</v>
      </c>
    </row>
    <row r="10" spans="1:8">
      <c r="A10" s="490">
        <v>3</v>
      </c>
      <c r="B10" s="489" t="s">
        <v>139</v>
      </c>
      <c r="C10" s="690"/>
      <c r="D10" s="690"/>
      <c r="E10" s="690"/>
      <c r="F10" s="690"/>
      <c r="G10" s="690"/>
      <c r="H10" s="690">
        <f t="shared" si="0"/>
        <v>0</v>
      </c>
    </row>
    <row r="11" spans="1:8">
      <c r="A11" s="490">
        <v>4</v>
      </c>
      <c r="B11" s="489" t="s">
        <v>140</v>
      </c>
      <c r="C11" s="690"/>
      <c r="D11" s="690"/>
      <c r="E11" s="690"/>
      <c r="F11" s="690"/>
      <c r="G11" s="690"/>
      <c r="H11" s="690">
        <f t="shared" si="0"/>
        <v>0</v>
      </c>
    </row>
    <row r="12" spans="1:8">
      <c r="A12" s="490">
        <v>5</v>
      </c>
      <c r="B12" s="489" t="s">
        <v>141</v>
      </c>
      <c r="C12" s="690"/>
      <c r="D12" s="690"/>
      <c r="E12" s="690"/>
      <c r="F12" s="690"/>
      <c r="G12" s="690"/>
      <c r="H12" s="690">
        <f t="shared" si="0"/>
        <v>0</v>
      </c>
    </row>
    <row r="13" spans="1:8">
      <c r="A13" s="490">
        <v>6</v>
      </c>
      <c r="B13" s="489" t="s">
        <v>142</v>
      </c>
      <c r="C13" s="690">
        <v>63595927</v>
      </c>
      <c r="D13" s="690"/>
      <c r="E13" s="690"/>
      <c r="F13" s="690"/>
      <c r="G13" s="690"/>
      <c r="H13" s="690">
        <f t="shared" si="0"/>
        <v>63595927</v>
      </c>
    </row>
    <row r="14" spans="1:8">
      <c r="A14" s="490">
        <v>7</v>
      </c>
      <c r="B14" s="489" t="s">
        <v>73</v>
      </c>
      <c r="C14" s="690"/>
      <c r="D14" s="690">
        <v>4645557.7634412451</v>
      </c>
      <c r="E14" s="690">
        <v>6361171.4502142835</v>
      </c>
      <c r="F14" s="690">
        <v>22890265.788501423</v>
      </c>
      <c r="G14" s="690"/>
      <c r="H14" s="690">
        <f t="shared" si="0"/>
        <v>33896995.002156951</v>
      </c>
    </row>
    <row r="15" spans="1:8">
      <c r="A15" s="490">
        <v>8</v>
      </c>
      <c r="B15" s="491" t="s">
        <v>74</v>
      </c>
      <c r="C15" s="690">
        <v>22737219.049788348</v>
      </c>
      <c r="D15" s="690">
        <v>315131910.73561686</v>
      </c>
      <c r="E15" s="690">
        <v>1204420518.8362634</v>
      </c>
      <c r="F15" s="690">
        <v>362806947.90586698</v>
      </c>
      <c r="G15" s="690">
        <v>539042.07161686546</v>
      </c>
      <c r="H15" s="690">
        <f t="shared" si="0"/>
        <v>1905635638.5991523</v>
      </c>
    </row>
    <row r="16" spans="1:8">
      <c r="A16" s="490">
        <v>9</v>
      </c>
      <c r="B16" s="489" t="s">
        <v>75</v>
      </c>
      <c r="C16" s="690">
        <v>21</v>
      </c>
      <c r="D16" s="690">
        <v>2343557.7770242514</v>
      </c>
      <c r="E16" s="690">
        <v>30365028.42606229</v>
      </c>
      <c r="F16" s="690">
        <v>69744537.058912873</v>
      </c>
      <c r="G16" s="690"/>
      <c r="H16" s="690">
        <f t="shared" si="0"/>
        <v>102453144.26199941</v>
      </c>
    </row>
    <row r="17" spans="1:8">
      <c r="A17" s="490">
        <v>10</v>
      </c>
      <c r="B17" s="493" t="s">
        <v>518</v>
      </c>
      <c r="C17" s="690">
        <v>2085844.4200360542</v>
      </c>
      <c r="D17" s="690">
        <v>180451.76162157333</v>
      </c>
      <c r="E17" s="690">
        <v>609744.4965655756</v>
      </c>
      <c r="F17" s="690">
        <v>178852.28270445281</v>
      </c>
      <c r="G17" s="690">
        <v>181750.07161686552</v>
      </c>
      <c r="H17" s="690">
        <f t="shared" si="0"/>
        <v>3236643.0325445221</v>
      </c>
    </row>
    <row r="18" spans="1:8">
      <c r="A18" s="490">
        <v>11</v>
      </c>
      <c r="B18" s="489" t="s">
        <v>70</v>
      </c>
      <c r="C18" s="690"/>
      <c r="D18" s="690"/>
      <c r="E18" s="690"/>
      <c r="F18" s="690"/>
      <c r="G18" s="690"/>
      <c r="H18" s="690">
        <f t="shared" si="0"/>
        <v>0</v>
      </c>
    </row>
    <row r="19" spans="1:8">
      <c r="A19" s="490">
        <v>12</v>
      </c>
      <c r="B19" s="489" t="s">
        <v>71</v>
      </c>
      <c r="C19" s="690"/>
      <c r="D19" s="690"/>
      <c r="E19" s="690"/>
      <c r="F19" s="690"/>
      <c r="G19" s="690"/>
      <c r="H19" s="690">
        <f t="shared" si="0"/>
        <v>0</v>
      </c>
    </row>
    <row r="20" spans="1:8">
      <c r="A20" s="492">
        <v>13</v>
      </c>
      <c r="B20" s="491" t="s">
        <v>72</v>
      </c>
      <c r="C20" s="690"/>
      <c r="D20" s="690"/>
      <c r="E20" s="690"/>
      <c r="F20" s="690"/>
      <c r="G20" s="690"/>
      <c r="H20" s="690">
        <f t="shared" si="0"/>
        <v>0</v>
      </c>
    </row>
    <row r="21" spans="1:8">
      <c r="A21" s="490">
        <v>14</v>
      </c>
      <c r="B21" s="489" t="s">
        <v>504</v>
      </c>
      <c r="C21" s="690">
        <v>79502541.689999998</v>
      </c>
      <c r="D21" s="690">
        <v>27349529.850354761</v>
      </c>
      <c r="E21" s="690">
        <v>16300382</v>
      </c>
      <c r="F21" s="690"/>
      <c r="G21" s="690">
        <v>45329946.490000002</v>
      </c>
      <c r="H21" s="690">
        <f t="shared" si="0"/>
        <v>168482400.03035477</v>
      </c>
    </row>
    <row r="22" spans="1:8">
      <c r="A22" s="488">
        <v>15</v>
      </c>
      <c r="B22" s="487" t="s">
        <v>68</v>
      </c>
      <c r="C22" s="690">
        <f t="shared" ref="C22:H22" si="1">SUM(C18:C21)+SUM(C8:C16)</f>
        <v>269841558.73978835</v>
      </c>
      <c r="D22" s="690">
        <f t="shared" si="1"/>
        <v>352536527.12643719</v>
      </c>
      <c r="E22" s="690">
        <f t="shared" si="1"/>
        <v>1276748337.7125401</v>
      </c>
      <c r="F22" s="690">
        <f t="shared" si="1"/>
        <v>455441750.7532813</v>
      </c>
      <c r="G22" s="690">
        <f t="shared" si="1"/>
        <v>132099849.56161687</v>
      </c>
      <c r="H22" s="690">
        <f t="shared" si="1"/>
        <v>2486668023.8936639</v>
      </c>
    </row>
    <row r="24" spans="1:8" ht="13.8">
      <c r="H24" s="691"/>
    </row>
    <row r="25" spans="1:8">
      <c r="H25" s="692"/>
    </row>
    <row r="26" spans="1:8" ht="36">
      <c r="B26" s="397" t="s">
        <v>683</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topLeftCell="B1" zoomScale="80" zoomScaleNormal="80" workbookViewId="0">
      <selection activeCell="G21" sqref="G21"/>
    </sheetView>
  </sheetViews>
  <sheetFormatPr defaultColWidth="9.21875" defaultRowHeight="12"/>
  <cols>
    <col min="1" max="1" width="11.77734375" style="383" bestFit="1" customWidth="1"/>
    <col min="2" max="2" width="86.77734375" style="380" customWidth="1"/>
    <col min="3" max="4" width="31.5546875" style="380" customWidth="1"/>
    <col min="5" max="7" width="22.21875" style="380" customWidth="1"/>
    <col min="8" max="8" width="41.44140625" style="380" customWidth="1"/>
    <col min="9" max="16384" width="9.21875" style="380"/>
  </cols>
  <sheetData>
    <row r="1" spans="1:8" ht="13.8">
      <c r="A1" s="379" t="s">
        <v>111</v>
      </c>
      <c r="B1" s="307" t="str">
        <f>Info!C2</f>
        <v>სს "კრედო ბანკი"</v>
      </c>
      <c r="C1" s="509"/>
      <c r="D1" s="509"/>
      <c r="E1" s="509"/>
      <c r="F1" s="509"/>
      <c r="G1" s="509"/>
      <c r="H1" s="509"/>
    </row>
    <row r="2" spans="1:8">
      <c r="A2" s="379" t="s">
        <v>112</v>
      </c>
      <c r="B2" s="382">
        <f>'1. key ratios'!B2</f>
        <v>45382</v>
      </c>
      <c r="C2" s="509"/>
      <c r="D2" s="509"/>
      <c r="E2" s="509"/>
      <c r="F2" s="509"/>
      <c r="G2" s="509"/>
      <c r="H2" s="509"/>
    </row>
    <row r="3" spans="1:8">
      <c r="A3" s="381" t="s">
        <v>505</v>
      </c>
      <c r="B3" s="509"/>
      <c r="C3" s="509"/>
      <c r="D3" s="509"/>
      <c r="E3" s="509"/>
      <c r="F3" s="509"/>
      <c r="G3" s="509"/>
      <c r="H3" s="509"/>
    </row>
    <row r="4" spans="1:8">
      <c r="A4" s="510"/>
      <c r="B4" s="509"/>
      <c r="C4" s="508" t="s">
        <v>506</v>
      </c>
      <c r="D4" s="508" t="s">
        <v>507</v>
      </c>
      <c r="E4" s="508" t="s">
        <v>508</v>
      </c>
      <c r="F4" s="508" t="s">
        <v>509</v>
      </c>
      <c r="G4" s="508" t="s">
        <v>510</v>
      </c>
      <c r="H4" s="508" t="s">
        <v>511</v>
      </c>
    </row>
    <row r="5" spans="1:8" ht="34.049999999999997" customHeight="1">
      <c r="A5" s="820" t="s">
        <v>874</v>
      </c>
      <c r="B5" s="821"/>
      <c r="C5" s="834" t="s">
        <v>600</v>
      </c>
      <c r="D5" s="834"/>
      <c r="E5" s="834" t="s">
        <v>873</v>
      </c>
      <c r="F5" s="832" t="s">
        <v>872</v>
      </c>
      <c r="G5" s="832" t="s">
        <v>515</v>
      </c>
      <c r="H5" s="506" t="s">
        <v>871</v>
      </c>
    </row>
    <row r="6" spans="1:8" ht="24">
      <c r="A6" s="824"/>
      <c r="B6" s="825"/>
      <c r="C6" s="507" t="s">
        <v>516</v>
      </c>
      <c r="D6" s="507" t="s">
        <v>517</v>
      </c>
      <c r="E6" s="834"/>
      <c r="F6" s="833"/>
      <c r="G6" s="833"/>
      <c r="H6" s="506" t="s">
        <v>870</v>
      </c>
    </row>
    <row r="7" spans="1:8">
      <c r="A7" s="502">
        <v>1</v>
      </c>
      <c r="B7" s="501" t="s">
        <v>137</v>
      </c>
      <c r="C7" s="693"/>
      <c r="D7" s="693">
        <v>212603919</v>
      </c>
      <c r="E7" s="693"/>
      <c r="F7" s="693"/>
      <c r="G7" s="693"/>
      <c r="H7" s="495">
        <f t="shared" ref="H7:H20" si="0">C7+D7-E7-F7</f>
        <v>212603919</v>
      </c>
    </row>
    <row r="8" spans="1:8" ht="24">
      <c r="A8" s="502">
        <v>2</v>
      </c>
      <c r="B8" s="501" t="s">
        <v>138</v>
      </c>
      <c r="C8" s="693"/>
      <c r="D8" s="693">
        <v>0</v>
      </c>
      <c r="E8" s="693"/>
      <c r="F8" s="693"/>
      <c r="G8" s="693"/>
      <c r="H8" s="495">
        <f t="shared" si="0"/>
        <v>0</v>
      </c>
    </row>
    <row r="9" spans="1:8">
      <c r="A9" s="502">
        <v>3</v>
      </c>
      <c r="B9" s="501" t="s">
        <v>139</v>
      </c>
      <c r="C9" s="693"/>
      <c r="D9" s="693">
        <v>0</v>
      </c>
      <c r="E9" s="693"/>
      <c r="F9" s="693"/>
      <c r="G9" s="693"/>
      <c r="H9" s="495">
        <f t="shared" si="0"/>
        <v>0</v>
      </c>
    </row>
    <row r="10" spans="1:8">
      <c r="A10" s="502">
        <v>4</v>
      </c>
      <c r="B10" s="501" t="s">
        <v>140</v>
      </c>
      <c r="C10" s="693"/>
      <c r="D10" s="693">
        <v>0</v>
      </c>
      <c r="E10" s="693"/>
      <c r="F10" s="693"/>
      <c r="G10" s="693"/>
      <c r="H10" s="495">
        <f t="shared" si="0"/>
        <v>0</v>
      </c>
    </row>
    <row r="11" spans="1:8">
      <c r="A11" s="502">
        <v>5</v>
      </c>
      <c r="B11" s="501" t="s">
        <v>141</v>
      </c>
      <c r="C11" s="693"/>
      <c r="D11" s="693">
        <v>0</v>
      </c>
      <c r="E11" s="693"/>
      <c r="F11" s="693"/>
      <c r="G11" s="693"/>
      <c r="H11" s="495">
        <f t="shared" si="0"/>
        <v>0</v>
      </c>
    </row>
    <row r="12" spans="1:8">
      <c r="A12" s="502">
        <v>6</v>
      </c>
      <c r="B12" s="501" t="s">
        <v>142</v>
      </c>
      <c r="C12" s="693"/>
      <c r="D12" s="693">
        <v>63595927</v>
      </c>
      <c r="E12" s="693"/>
      <c r="F12" s="693"/>
      <c r="G12" s="693"/>
      <c r="H12" s="495">
        <f t="shared" si="0"/>
        <v>63595927</v>
      </c>
    </row>
    <row r="13" spans="1:8">
      <c r="A13" s="502">
        <v>7</v>
      </c>
      <c r="B13" s="501" t="s">
        <v>73</v>
      </c>
      <c r="C13" s="693"/>
      <c r="D13" s="693">
        <v>33984834.265621684</v>
      </c>
      <c r="E13" s="693">
        <v>87839.263464735646</v>
      </c>
      <c r="F13" s="693"/>
      <c r="G13" s="693"/>
      <c r="H13" s="495">
        <f t="shared" si="0"/>
        <v>33896995.002156951</v>
      </c>
    </row>
    <row r="14" spans="1:8">
      <c r="A14" s="502">
        <v>8</v>
      </c>
      <c r="B14" s="503" t="s">
        <v>74</v>
      </c>
      <c r="C14" s="693">
        <v>16940259.751640052</v>
      </c>
      <c r="D14" s="693">
        <v>1932209348.7995913</v>
      </c>
      <c r="E14" s="693">
        <v>43513970.154768378</v>
      </c>
      <c r="F14" s="693"/>
      <c r="G14" s="693">
        <v>16626277.599898009</v>
      </c>
      <c r="H14" s="495">
        <f t="shared" si="0"/>
        <v>1905635638.3964629</v>
      </c>
    </row>
    <row r="15" spans="1:8">
      <c r="A15" s="502">
        <v>9</v>
      </c>
      <c r="B15" s="501" t="s">
        <v>75</v>
      </c>
      <c r="C15" s="693">
        <v>3777.33</v>
      </c>
      <c r="D15" s="693">
        <v>103062577.98928617</v>
      </c>
      <c r="E15" s="693">
        <v>613211.44034874497</v>
      </c>
      <c r="F15" s="693"/>
      <c r="G15" s="693"/>
      <c r="H15" s="495">
        <f t="shared" si="0"/>
        <v>102453143.87893742</v>
      </c>
    </row>
    <row r="16" spans="1:8">
      <c r="A16" s="502">
        <v>10</v>
      </c>
      <c r="B16" s="505" t="s">
        <v>518</v>
      </c>
      <c r="C16" s="693">
        <v>16795961.411640052</v>
      </c>
      <c r="D16" s="693"/>
      <c r="E16" s="693">
        <v>13559318.379095552</v>
      </c>
      <c r="F16" s="693"/>
      <c r="G16" s="693">
        <v>16626277.599898009</v>
      </c>
      <c r="H16" s="495">
        <f t="shared" si="0"/>
        <v>3236643.0325444993</v>
      </c>
    </row>
    <row r="17" spans="1:8">
      <c r="A17" s="502">
        <v>11</v>
      </c>
      <c r="B17" s="501" t="s">
        <v>70</v>
      </c>
      <c r="C17" s="693"/>
      <c r="D17" s="693"/>
      <c r="E17" s="693"/>
      <c r="F17" s="693"/>
      <c r="G17" s="693"/>
      <c r="H17" s="495">
        <f t="shared" si="0"/>
        <v>0</v>
      </c>
    </row>
    <row r="18" spans="1:8">
      <c r="A18" s="502">
        <v>12</v>
      </c>
      <c r="B18" s="501" t="s">
        <v>71</v>
      </c>
      <c r="C18" s="693"/>
      <c r="D18" s="693"/>
      <c r="E18" s="693"/>
      <c r="F18" s="693"/>
      <c r="G18" s="693"/>
      <c r="H18" s="495">
        <f t="shared" si="0"/>
        <v>0</v>
      </c>
    </row>
    <row r="19" spans="1:8">
      <c r="A19" s="504">
        <v>13</v>
      </c>
      <c r="B19" s="503" t="s">
        <v>72</v>
      </c>
      <c r="C19" s="693"/>
      <c r="D19" s="693"/>
      <c r="E19" s="693"/>
      <c r="F19" s="693"/>
      <c r="G19" s="693"/>
      <c r="H19" s="495">
        <f t="shared" si="0"/>
        <v>0</v>
      </c>
    </row>
    <row r="20" spans="1:8">
      <c r="A20" s="502">
        <v>14</v>
      </c>
      <c r="B20" s="501" t="s">
        <v>504</v>
      </c>
      <c r="C20" s="693"/>
      <c r="D20" s="693">
        <v>196349906.23035479</v>
      </c>
      <c r="E20" s="693">
        <v>4709570.37</v>
      </c>
      <c r="F20" s="693"/>
      <c r="G20" s="693"/>
      <c r="H20" s="495">
        <f t="shared" si="0"/>
        <v>191640335.86035478</v>
      </c>
    </row>
    <row r="21" spans="1:8" s="384" customFormat="1">
      <c r="A21" s="500">
        <v>15</v>
      </c>
      <c r="B21" s="499" t="s">
        <v>68</v>
      </c>
      <c r="C21" s="694">
        <f t="shared" ref="C21:H21" si="1">SUM(C7:C15)+SUM(C17:C20)</f>
        <v>16944037.08164005</v>
      </c>
      <c r="D21" s="694">
        <f t="shared" si="1"/>
        <v>2541806513.2848539</v>
      </c>
      <c r="E21" s="694">
        <f t="shared" si="1"/>
        <v>48924591.228581853</v>
      </c>
      <c r="F21" s="694">
        <f t="shared" si="1"/>
        <v>0</v>
      </c>
      <c r="G21" s="694">
        <f t="shared" si="1"/>
        <v>16626277.599898009</v>
      </c>
      <c r="H21" s="495">
        <f t="shared" si="1"/>
        <v>2509825959.1379118</v>
      </c>
    </row>
    <row r="22" spans="1:8">
      <c r="A22" s="498">
        <v>16</v>
      </c>
      <c r="B22" s="497" t="s">
        <v>519</v>
      </c>
      <c r="C22" s="693">
        <f>C14+C15</f>
        <v>16944037.08164005</v>
      </c>
      <c r="D22" s="693">
        <f>SUM(D13:D15)</f>
        <v>2069256761.0544991</v>
      </c>
      <c r="E22" s="693">
        <f>SUM(E13:E15)</f>
        <v>44215020.858581856</v>
      </c>
      <c r="F22" s="693"/>
      <c r="G22" s="693">
        <v>16626277.599898009</v>
      </c>
      <c r="H22" s="495">
        <f>C22+D22-E22-F22</f>
        <v>2041985777.2775574</v>
      </c>
    </row>
    <row r="23" spans="1:8">
      <c r="A23" s="498">
        <v>17</v>
      </c>
      <c r="B23" s="497" t="s">
        <v>520</v>
      </c>
      <c r="C23" s="693"/>
      <c r="D23" s="693">
        <v>22367209.940000001</v>
      </c>
      <c r="E23" s="693"/>
      <c r="F23" s="693"/>
      <c r="G23" s="693"/>
      <c r="H23" s="495">
        <f>C23+D23-E23-F23</f>
        <v>22367209.940000001</v>
      </c>
    </row>
    <row r="26" spans="1:8" ht="42.45" customHeight="1">
      <c r="B26" s="397" t="s">
        <v>683</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B1" zoomScale="80" zoomScaleNormal="80" workbookViewId="0">
      <selection activeCell="F26" sqref="F26"/>
    </sheetView>
  </sheetViews>
  <sheetFormatPr defaultColWidth="9.21875" defaultRowHeight="12"/>
  <cols>
    <col min="1" max="1" width="7.88671875" style="380" customWidth="1"/>
    <col min="2" max="2" width="93.44140625" style="380" customWidth="1"/>
    <col min="3" max="3" width="31.109375" style="380" customWidth="1"/>
    <col min="4" max="4" width="26.33203125" style="380" customWidth="1"/>
    <col min="5" max="7" width="22" style="380" customWidth="1"/>
    <col min="8" max="8" width="36.21875" style="380" customWidth="1"/>
    <col min="9" max="16384" width="9.21875" style="380"/>
  </cols>
  <sheetData>
    <row r="1" spans="1:8" ht="13.8">
      <c r="A1" s="379" t="s">
        <v>111</v>
      </c>
      <c r="B1" s="307" t="str">
        <f>Info!C2</f>
        <v>სს "კრედო ბანკი"</v>
      </c>
      <c r="C1" s="509"/>
      <c r="D1" s="509"/>
      <c r="E1" s="509"/>
      <c r="F1" s="509"/>
      <c r="G1" s="509"/>
      <c r="H1" s="509"/>
    </row>
    <row r="2" spans="1:8">
      <c r="A2" s="379" t="s">
        <v>112</v>
      </c>
      <c r="B2" s="382">
        <f>'1. key ratios'!B2</f>
        <v>45382</v>
      </c>
      <c r="C2" s="509"/>
      <c r="D2" s="509"/>
      <c r="E2" s="509"/>
      <c r="F2" s="509"/>
      <c r="G2" s="509"/>
      <c r="H2" s="509"/>
    </row>
    <row r="3" spans="1:8">
      <c r="A3" s="381" t="s">
        <v>521</v>
      </c>
      <c r="B3" s="509"/>
      <c r="C3" s="509"/>
      <c r="D3" s="509"/>
      <c r="E3" s="509"/>
      <c r="F3" s="509"/>
      <c r="G3" s="509"/>
      <c r="H3" s="509"/>
    </row>
    <row r="4" spans="1:8">
      <c r="A4" s="509"/>
      <c r="B4" s="509"/>
      <c r="C4" s="508" t="s">
        <v>506</v>
      </c>
      <c r="D4" s="508" t="s">
        <v>507</v>
      </c>
      <c r="E4" s="508" t="s">
        <v>508</v>
      </c>
      <c r="F4" s="508" t="s">
        <v>509</v>
      </c>
      <c r="G4" s="508" t="s">
        <v>510</v>
      </c>
      <c r="H4" s="508" t="s">
        <v>511</v>
      </c>
    </row>
    <row r="5" spans="1:8" ht="41.55" customHeight="1">
      <c r="A5" s="820" t="s">
        <v>876</v>
      </c>
      <c r="B5" s="821"/>
      <c r="C5" s="835" t="s">
        <v>600</v>
      </c>
      <c r="D5" s="836"/>
      <c r="E5" s="832" t="s">
        <v>873</v>
      </c>
      <c r="F5" s="832" t="s">
        <v>872</v>
      </c>
      <c r="G5" s="832" t="s">
        <v>515</v>
      </c>
      <c r="H5" s="506" t="s">
        <v>871</v>
      </c>
    </row>
    <row r="6" spans="1:8" ht="24">
      <c r="A6" s="824"/>
      <c r="B6" s="825"/>
      <c r="C6" s="507" t="s">
        <v>516</v>
      </c>
      <c r="D6" s="507" t="s">
        <v>517</v>
      </c>
      <c r="E6" s="833"/>
      <c r="F6" s="833"/>
      <c r="G6" s="833"/>
      <c r="H6" s="506" t="s">
        <v>870</v>
      </c>
    </row>
    <row r="7" spans="1:8">
      <c r="A7" s="496">
        <v>1</v>
      </c>
      <c r="B7" s="512" t="s">
        <v>522</v>
      </c>
      <c r="C7" s="693">
        <v>60089.750322892913</v>
      </c>
      <c r="D7" s="693">
        <v>232418855.96749669</v>
      </c>
      <c r="E7" s="693">
        <v>343410.71388142009</v>
      </c>
      <c r="F7" s="693"/>
      <c r="G7" s="693">
        <v>128478.16</v>
      </c>
      <c r="H7" s="495">
        <f t="shared" ref="H7:H34" si="0">C7+D7-E7-F7</f>
        <v>232135535.00393814</v>
      </c>
    </row>
    <row r="8" spans="1:8">
      <c r="A8" s="496">
        <v>2</v>
      </c>
      <c r="B8" s="512" t="s">
        <v>523</v>
      </c>
      <c r="C8" s="693">
        <v>28468.21312560184</v>
      </c>
      <c r="D8" s="693">
        <v>75500060.993191659</v>
      </c>
      <c r="E8" s="693">
        <v>136299.37098013397</v>
      </c>
      <c r="F8" s="693"/>
      <c r="G8" s="693">
        <v>29883.450000000004</v>
      </c>
      <c r="H8" s="495">
        <f t="shared" si="0"/>
        <v>75392229.835337132</v>
      </c>
    </row>
    <row r="9" spans="1:8">
      <c r="A9" s="496">
        <v>3</v>
      </c>
      <c r="B9" s="512" t="s">
        <v>875</v>
      </c>
      <c r="C9" s="693">
        <v>82430.256937640719</v>
      </c>
      <c r="D9" s="693">
        <v>5973283.5171114579</v>
      </c>
      <c r="E9" s="693">
        <v>148132.98246872221</v>
      </c>
      <c r="F9" s="693"/>
      <c r="G9" s="693">
        <v>91423.39</v>
      </c>
      <c r="H9" s="495">
        <f t="shared" si="0"/>
        <v>5907580.7915803762</v>
      </c>
    </row>
    <row r="10" spans="1:8">
      <c r="A10" s="496">
        <v>4</v>
      </c>
      <c r="B10" s="512" t="s">
        <v>524</v>
      </c>
      <c r="C10" s="693">
        <v>1457.60401673857</v>
      </c>
      <c r="D10" s="693">
        <v>11637382.578460012</v>
      </c>
      <c r="E10" s="693">
        <v>71118.459212476911</v>
      </c>
      <c r="F10" s="693"/>
      <c r="G10" s="693">
        <v>4901.83</v>
      </c>
      <c r="H10" s="495">
        <f t="shared" si="0"/>
        <v>11567721.723264273</v>
      </c>
    </row>
    <row r="11" spans="1:8">
      <c r="A11" s="496">
        <v>5</v>
      </c>
      <c r="B11" s="512" t="s">
        <v>525</v>
      </c>
      <c r="C11" s="693">
        <v>25834.566375806549</v>
      </c>
      <c r="D11" s="693">
        <v>36735200.873563871</v>
      </c>
      <c r="E11" s="693">
        <v>386445.97525109013</v>
      </c>
      <c r="F11" s="693"/>
      <c r="G11" s="693">
        <v>17578.958240000004</v>
      </c>
      <c r="H11" s="495">
        <f t="shared" si="0"/>
        <v>36374589.464688584</v>
      </c>
    </row>
    <row r="12" spans="1:8">
      <c r="A12" s="496">
        <v>6</v>
      </c>
      <c r="B12" s="512" t="s">
        <v>526</v>
      </c>
      <c r="C12" s="693">
        <v>77511.560263598105</v>
      </c>
      <c r="D12" s="693">
        <v>11620754.725595333</v>
      </c>
      <c r="E12" s="693">
        <v>187917.66299775854</v>
      </c>
      <c r="F12" s="693"/>
      <c r="G12" s="693">
        <v>80371.079999999973</v>
      </c>
      <c r="H12" s="495">
        <f t="shared" si="0"/>
        <v>11510348.622861173</v>
      </c>
    </row>
    <row r="13" spans="1:8">
      <c r="A13" s="496">
        <v>7</v>
      </c>
      <c r="B13" s="512" t="s">
        <v>527</v>
      </c>
      <c r="C13" s="693">
        <v>16445.885425192108</v>
      </c>
      <c r="D13" s="693">
        <v>3716219.0060784472</v>
      </c>
      <c r="E13" s="693">
        <v>110294.20598047601</v>
      </c>
      <c r="F13" s="693"/>
      <c r="G13" s="693">
        <v>41370.429999999993</v>
      </c>
      <c r="H13" s="495">
        <f t="shared" si="0"/>
        <v>3622370.6855231635</v>
      </c>
    </row>
    <row r="14" spans="1:8">
      <c r="A14" s="496">
        <v>8</v>
      </c>
      <c r="B14" s="512" t="s">
        <v>528</v>
      </c>
      <c r="C14" s="693">
        <v>1666784.9184804666</v>
      </c>
      <c r="D14" s="693">
        <v>149394540.63106585</v>
      </c>
      <c r="E14" s="693">
        <v>3275341.6232321747</v>
      </c>
      <c r="F14" s="693"/>
      <c r="G14" s="693">
        <v>1103872.9988149994</v>
      </c>
      <c r="H14" s="495">
        <f t="shared" si="0"/>
        <v>147785983.92631412</v>
      </c>
    </row>
    <row r="15" spans="1:8">
      <c r="A15" s="496">
        <v>9</v>
      </c>
      <c r="B15" s="512" t="s">
        <v>529</v>
      </c>
      <c r="C15" s="693">
        <v>271051.53692732728</v>
      </c>
      <c r="D15" s="693">
        <v>28870020.111180246</v>
      </c>
      <c r="E15" s="693">
        <v>638404.92566237447</v>
      </c>
      <c r="F15" s="693"/>
      <c r="G15" s="693">
        <v>283194.97999999986</v>
      </c>
      <c r="H15" s="495">
        <f t="shared" si="0"/>
        <v>28502666.722445197</v>
      </c>
    </row>
    <row r="16" spans="1:8">
      <c r="A16" s="496">
        <v>10</v>
      </c>
      <c r="B16" s="512" t="s">
        <v>530</v>
      </c>
      <c r="C16" s="693">
        <v>105818.18229120916</v>
      </c>
      <c r="D16" s="693">
        <v>14618738.885886429</v>
      </c>
      <c r="E16" s="693">
        <v>256830.74807423368</v>
      </c>
      <c r="F16" s="693"/>
      <c r="G16" s="693">
        <v>134937.15000000005</v>
      </c>
      <c r="H16" s="495">
        <f t="shared" si="0"/>
        <v>14467726.320103405</v>
      </c>
    </row>
    <row r="17" spans="1:8">
      <c r="A17" s="496">
        <v>11</v>
      </c>
      <c r="B17" s="512" t="s">
        <v>531</v>
      </c>
      <c r="C17" s="693">
        <v>99501.541311729277</v>
      </c>
      <c r="D17" s="693">
        <v>6644742.4089049408</v>
      </c>
      <c r="E17" s="693">
        <v>184285.9348093608</v>
      </c>
      <c r="F17" s="693"/>
      <c r="G17" s="693">
        <v>166452.82</v>
      </c>
      <c r="H17" s="495">
        <f t="shared" si="0"/>
        <v>6559958.0154073099</v>
      </c>
    </row>
    <row r="18" spans="1:8">
      <c r="A18" s="496">
        <v>12</v>
      </c>
      <c r="B18" s="512" t="s">
        <v>532</v>
      </c>
      <c r="C18" s="693">
        <v>676428.00419227243</v>
      </c>
      <c r="D18" s="693">
        <v>115230395.98144415</v>
      </c>
      <c r="E18" s="693">
        <v>1851439.66746942</v>
      </c>
      <c r="F18" s="693"/>
      <c r="G18" s="693">
        <v>724575.86432300031</v>
      </c>
      <c r="H18" s="495">
        <f t="shared" si="0"/>
        <v>114055384.318167</v>
      </c>
    </row>
    <row r="19" spans="1:8">
      <c r="A19" s="496">
        <v>13</v>
      </c>
      <c r="B19" s="512" t="s">
        <v>533</v>
      </c>
      <c r="C19" s="693">
        <v>106269.21977540886</v>
      </c>
      <c r="D19" s="693">
        <v>16568623.769211281</v>
      </c>
      <c r="E19" s="693">
        <v>340519.57039859338</v>
      </c>
      <c r="F19" s="693"/>
      <c r="G19" s="693">
        <v>83496.146878000043</v>
      </c>
      <c r="H19" s="495">
        <f t="shared" si="0"/>
        <v>16334373.418588096</v>
      </c>
    </row>
    <row r="20" spans="1:8">
      <c r="A20" s="496">
        <v>14</v>
      </c>
      <c r="B20" s="512" t="s">
        <v>534</v>
      </c>
      <c r="C20" s="693">
        <v>79415.231453694767</v>
      </c>
      <c r="D20" s="693">
        <v>53528773.747012168</v>
      </c>
      <c r="E20" s="693">
        <v>692055.02533061127</v>
      </c>
      <c r="F20" s="693"/>
      <c r="G20" s="693">
        <v>138133.20908599999</v>
      </c>
      <c r="H20" s="495">
        <f t="shared" si="0"/>
        <v>52916133.953135252</v>
      </c>
    </row>
    <row r="21" spans="1:8">
      <c r="A21" s="496">
        <v>15</v>
      </c>
      <c r="B21" s="512" t="s">
        <v>535</v>
      </c>
      <c r="C21" s="693">
        <v>306492.52246923005</v>
      </c>
      <c r="D21" s="693">
        <v>35495860.783975445</v>
      </c>
      <c r="E21" s="693">
        <v>967015.96367353993</v>
      </c>
      <c r="F21" s="693"/>
      <c r="G21" s="693">
        <v>232779.09836799989</v>
      </c>
      <c r="H21" s="495">
        <f t="shared" si="0"/>
        <v>34835337.342771135</v>
      </c>
    </row>
    <row r="22" spans="1:8">
      <c r="A22" s="496">
        <v>16</v>
      </c>
      <c r="B22" s="512" t="s">
        <v>536</v>
      </c>
      <c r="C22" s="693">
        <v>69045.900164262392</v>
      </c>
      <c r="D22" s="693">
        <v>11644355.14862071</v>
      </c>
      <c r="E22" s="693">
        <v>204091.3304919939</v>
      </c>
      <c r="F22" s="693"/>
      <c r="G22" s="693">
        <v>45592.620000000017</v>
      </c>
      <c r="H22" s="495">
        <f t="shared" si="0"/>
        <v>11509309.718292978</v>
      </c>
    </row>
    <row r="23" spans="1:8">
      <c r="A23" s="496">
        <v>17</v>
      </c>
      <c r="B23" s="512" t="s">
        <v>537</v>
      </c>
      <c r="C23" s="693">
        <v>2157.13</v>
      </c>
      <c r="D23" s="693">
        <v>812341.6767465407</v>
      </c>
      <c r="E23" s="693">
        <v>14363.824590480426</v>
      </c>
      <c r="F23" s="693"/>
      <c r="G23" s="693">
        <v>6824.4963340000004</v>
      </c>
      <c r="H23" s="495">
        <f t="shared" si="0"/>
        <v>800134.98215606029</v>
      </c>
    </row>
    <row r="24" spans="1:8">
      <c r="A24" s="496">
        <v>18</v>
      </c>
      <c r="B24" s="512" t="s">
        <v>538</v>
      </c>
      <c r="C24" s="693">
        <v>5762.4879784411205</v>
      </c>
      <c r="D24" s="693">
        <v>3283707.0453570406</v>
      </c>
      <c r="E24" s="693">
        <v>55844.21784448679</v>
      </c>
      <c r="F24" s="693"/>
      <c r="G24" s="693">
        <v>15937.56</v>
      </c>
      <c r="H24" s="495">
        <f t="shared" si="0"/>
        <v>3233625.3154909951</v>
      </c>
    </row>
    <row r="25" spans="1:8">
      <c r="A25" s="496">
        <v>19</v>
      </c>
      <c r="B25" s="512" t="s">
        <v>539</v>
      </c>
      <c r="C25" s="693">
        <v>33198.064112201588</v>
      </c>
      <c r="D25" s="693">
        <v>6013414.0174676888</v>
      </c>
      <c r="E25" s="693">
        <v>88264.44446851332</v>
      </c>
      <c r="F25" s="693"/>
      <c r="G25" s="693">
        <v>24964.129999999994</v>
      </c>
      <c r="H25" s="495">
        <f t="shared" si="0"/>
        <v>5958347.637111377</v>
      </c>
    </row>
    <row r="26" spans="1:8">
      <c r="A26" s="496">
        <v>20</v>
      </c>
      <c r="B26" s="512" t="s">
        <v>540</v>
      </c>
      <c r="C26" s="693">
        <v>42108.439258330218</v>
      </c>
      <c r="D26" s="693">
        <v>15247268.00478846</v>
      </c>
      <c r="E26" s="693">
        <v>193841.43976706502</v>
      </c>
      <c r="F26" s="693"/>
      <c r="G26" s="693">
        <v>29566.829999999998</v>
      </c>
      <c r="H26" s="495">
        <f t="shared" si="0"/>
        <v>15095535.004279725</v>
      </c>
    </row>
    <row r="27" spans="1:8">
      <c r="A27" s="496">
        <v>21</v>
      </c>
      <c r="B27" s="512" t="s">
        <v>541</v>
      </c>
      <c r="C27" s="693">
        <v>660.37</v>
      </c>
      <c r="D27" s="693">
        <v>2027483.3990343551</v>
      </c>
      <c r="E27" s="693">
        <v>20033.195519513203</v>
      </c>
      <c r="F27" s="693"/>
      <c r="G27" s="693">
        <v>36464.99</v>
      </c>
      <c r="H27" s="495">
        <f t="shared" si="0"/>
        <v>2008110.573514842</v>
      </c>
    </row>
    <row r="28" spans="1:8">
      <c r="A28" s="496">
        <v>22</v>
      </c>
      <c r="B28" s="512" t="s">
        <v>542</v>
      </c>
      <c r="C28" s="496"/>
      <c r="D28" s="693">
        <v>717885.84706045652</v>
      </c>
      <c r="E28" s="693">
        <v>12420.327659375045</v>
      </c>
      <c r="F28" s="693"/>
      <c r="G28" s="693">
        <v>5416.0199999999986</v>
      </c>
      <c r="H28" s="495">
        <f t="shared" si="0"/>
        <v>705465.51940108149</v>
      </c>
    </row>
    <row r="29" spans="1:8">
      <c r="A29" s="496">
        <v>23</v>
      </c>
      <c r="B29" s="512" t="s">
        <v>543</v>
      </c>
      <c r="C29" s="693">
        <v>3842120.4026003899</v>
      </c>
      <c r="D29" s="693">
        <v>482943158.51683736</v>
      </c>
      <c r="E29" s="693">
        <v>10976506.378939645</v>
      </c>
      <c r="F29" s="693"/>
      <c r="G29" s="693">
        <v>4978710.3894729968</v>
      </c>
      <c r="H29" s="495">
        <f t="shared" si="0"/>
        <v>475808772.54049814</v>
      </c>
    </row>
    <row r="30" spans="1:8">
      <c r="A30" s="496">
        <v>24</v>
      </c>
      <c r="B30" s="512" t="s">
        <v>544</v>
      </c>
      <c r="C30" s="693">
        <v>7762654.9652441442</v>
      </c>
      <c r="D30" s="693">
        <v>789240041.00386512</v>
      </c>
      <c r="E30" s="693">
        <v>18338946.845901836</v>
      </c>
      <c r="F30" s="693"/>
      <c r="G30" s="693">
        <f>6613257.02548201+2264</f>
        <v>6615521.0254820101</v>
      </c>
      <c r="H30" s="495">
        <f t="shared" si="0"/>
        <v>778663749.12320745</v>
      </c>
    </row>
    <row r="31" spans="1:8">
      <c r="A31" s="496">
        <v>25</v>
      </c>
      <c r="B31" s="512" t="s">
        <v>545</v>
      </c>
      <c r="C31" s="693">
        <v>1175203.5164547069</v>
      </c>
      <c r="D31" s="693">
        <v>177382915.47995618</v>
      </c>
      <c r="E31" s="693">
        <v>3426712.2830894846</v>
      </c>
      <c r="F31" s="693"/>
      <c r="G31" s="693">
        <v>1605830.2028990013</v>
      </c>
      <c r="H31" s="495">
        <f t="shared" si="0"/>
        <v>175131406.71332139</v>
      </c>
    </row>
    <row r="32" spans="1:8">
      <c r="A32" s="496">
        <v>26</v>
      </c>
      <c r="B32" s="512" t="s">
        <v>546</v>
      </c>
      <c r="C32" s="693">
        <v>407126.82245878095</v>
      </c>
      <c r="D32" s="693">
        <v>58190582.934558414</v>
      </c>
      <c r="E32" s="693">
        <v>1294483.7491236883</v>
      </c>
      <c r="F32" s="693"/>
      <c r="G32" s="693"/>
      <c r="H32" s="495">
        <f t="shared" si="0"/>
        <v>57303226.00789351</v>
      </c>
    </row>
    <row r="33" spans="1:8">
      <c r="A33" s="496">
        <v>27</v>
      </c>
      <c r="B33" s="496" t="s">
        <v>102</v>
      </c>
      <c r="C33" s="693"/>
      <c r="D33" s="693">
        <v>196349906.23035479</v>
      </c>
      <c r="E33" s="693">
        <v>4709570.37</v>
      </c>
      <c r="F33" s="693"/>
      <c r="G33" s="693"/>
      <c r="H33" s="495">
        <f t="shared" si="0"/>
        <v>191640335.86035478</v>
      </c>
    </row>
    <row r="34" spans="1:8">
      <c r="A34" s="496">
        <v>28</v>
      </c>
      <c r="B34" s="499" t="s">
        <v>68</v>
      </c>
      <c r="C34" s="694">
        <f>SUM(C7:C33)</f>
        <v>16944037.091640066</v>
      </c>
      <c r="D34" s="694">
        <f>SUM(D7:D33)</f>
        <v>2541806513.2848253</v>
      </c>
      <c r="E34" s="694">
        <f>SUM(E7:E33)</f>
        <v>48924591.236818455</v>
      </c>
      <c r="F34" s="694">
        <f>SUM(F7:F33)</f>
        <v>0</v>
      </c>
      <c r="G34" s="694">
        <f>SUM(G7:G33)</f>
        <v>16626277.829898007</v>
      </c>
      <c r="H34" s="495">
        <f t="shared" si="0"/>
        <v>2509825959.139647</v>
      </c>
    </row>
    <row r="36" spans="1:8">
      <c r="B36" s="385"/>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C17" sqref="C17"/>
    </sheetView>
  </sheetViews>
  <sheetFormatPr defaultColWidth="9.21875" defaultRowHeight="12"/>
  <cols>
    <col min="1" max="1" width="11.77734375" style="380" bestFit="1" customWidth="1"/>
    <col min="2" max="2" width="108" style="380" bestFit="1" customWidth="1"/>
    <col min="3" max="3" width="35.5546875" style="380" customWidth="1"/>
    <col min="4" max="4" width="38.44140625" style="380" customWidth="1"/>
    <col min="5" max="16384" width="9.21875" style="380"/>
  </cols>
  <sheetData>
    <row r="1" spans="1:4" ht="13.8">
      <c r="A1" s="379" t="s">
        <v>111</v>
      </c>
      <c r="B1" s="307" t="str">
        <f>Info!C2</f>
        <v>სს "კრედო ბანკი"</v>
      </c>
    </row>
    <row r="2" spans="1:4">
      <c r="A2" s="379" t="s">
        <v>112</v>
      </c>
      <c r="B2" s="382">
        <f>'1. key ratios'!B2</f>
        <v>45382</v>
      </c>
    </row>
    <row r="3" spans="1:4">
      <c r="A3" s="381" t="s">
        <v>547</v>
      </c>
    </row>
    <row r="5" spans="1:4">
      <c r="A5" s="837" t="s">
        <v>887</v>
      </c>
      <c r="B5" s="837"/>
      <c r="C5" s="522" t="s">
        <v>566</v>
      </c>
      <c r="D5" s="522" t="s">
        <v>886</v>
      </c>
    </row>
    <row r="6" spans="1:4">
      <c r="A6" s="521">
        <v>1</v>
      </c>
      <c r="B6" s="514" t="s">
        <v>885</v>
      </c>
      <c r="C6" s="721">
        <v>43529746.670755476</v>
      </c>
      <c r="D6" s="516"/>
    </row>
    <row r="7" spans="1:4">
      <c r="A7" s="518">
        <v>2</v>
      </c>
      <c r="B7" s="514" t="s">
        <v>884</v>
      </c>
      <c r="C7" s="721">
        <f>SUM(C8:C9)</f>
        <v>33767071</v>
      </c>
      <c r="D7" s="516">
        <f>SUM(D8:D9)</f>
        <v>0</v>
      </c>
    </row>
    <row r="8" spans="1:4">
      <c r="A8" s="520">
        <v>2.1</v>
      </c>
      <c r="B8" s="519" t="s">
        <v>883</v>
      </c>
      <c r="C8" s="721">
        <v>4143203</v>
      </c>
      <c r="D8" s="516"/>
    </row>
    <row r="9" spans="1:4">
      <c r="A9" s="520">
        <v>2.2000000000000002</v>
      </c>
      <c r="B9" s="519" t="s">
        <v>882</v>
      </c>
      <c r="C9" s="721">
        <v>29623868</v>
      </c>
      <c r="D9" s="516"/>
    </row>
    <row r="10" spans="1:4">
      <c r="A10" s="521">
        <v>3</v>
      </c>
      <c r="B10" s="514" t="s">
        <v>881</v>
      </c>
      <c r="C10" s="721">
        <f>SUM(C11:C13)</f>
        <v>33074636</v>
      </c>
      <c r="D10" s="516">
        <f>SUM(D11:D13)</f>
        <v>0</v>
      </c>
    </row>
    <row r="11" spans="1:4">
      <c r="A11" s="520">
        <v>3.1</v>
      </c>
      <c r="B11" s="519" t="s">
        <v>548</v>
      </c>
      <c r="C11" s="721">
        <v>16626278</v>
      </c>
      <c r="D11" s="516"/>
    </row>
    <row r="12" spans="1:4">
      <c r="A12" s="520">
        <v>3.2</v>
      </c>
      <c r="B12" s="519" t="s">
        <v>880</v>
      </c>
      <c r="C12" s="721">
        <v>5477932</v>
      </c>
      <c r="D12" s="516"/>
    </row>
    <row r="13" spans="1:4">
      <c r="A13" s="520">
        <v>3.3</v>
      </c>
      <c r="B13" s="519" t="s">
        <v>879</v>
      </c>
      <c r="C13" s="721">
        <v>10970426</v>
      </c>
      <c r="D13" s="516"/>
    </row>
    <row r="14" spans="1:4">
      <c r="A14" s="518">
        <v>4</v>
      </c>
      <c r="B14" s="517" t="s">
        <v>878</v>
      </c>
      <c r="C14" s="721">
        <v>-7161</v>
      </c>
      <c r="D14" s="516"/>
    </row>
    <row r="15" spans="1:4">
      <c r="A15" s="515">
        <v>5</v>
      </c>
      <c r="B15" s="514" t="s">
        <v>877</v>
      </c>
      <c r="C15" s="722">
        <f>C6+C7-C10+C14</f>
        <v>44215020.670755476</v>
      </c>
      <c r="D15" s="513">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18" sqref="C18"/>
    </sheetView>
  </sheetViews>
  <sheetFormatPr defaultColWidth="9.21875" defaultRowHeight="12"/>
  <cols>
    <col min="1" max="1" width="11.77734375" style="509" bestFit="1" customWidth="1"/>
    <col min="2" max="2" width="128.88671875" style="509" bestFit="1" customWidth="1"/>
    <col min="3" max="3" width="37" style="509" customWidth="1"/>
    <col min="4" max="4" width="50.5546875" style="509" customWidth="1"/>
    <col min="5" max="16384" width="9.21875" style="509"/>
  </cols>
  <sheetData>
    <row r="1" spans="1:4" ht="13.8">
      <c r="A1" s="379" t="s">
        <v>111</v>
      </c>
      <c r="B1" s="307" t="str">
        <f>Info!C2</f>
        <v>სს "კრედო ბანკი"</v>
      </c>
    </row>
    <row r="2" spans="1:4">
      <c r="A2" s="379" t="s">
        <v>112</v>
      </c>
      <c r="B2" s="382">
        <f>'1. key ratios'!B2</f>
        <v>45382</v>
      </c>
    </row>
    <row r="3" spans="1:4">
      <c r="A3" s="381" t="s">
        <v>549</v>
      </c>
    </row>
    <row r="4" spans="1:4">
      <c r="A4" s="381"/>
    </row>
    <row r="5" spans="1:4" ht="15" customHeight="1">
      <c r="A5" s="838" t="s">
        <v>550</v>
      </c>
      <c r="B5" s="839"/>
      <c r="C5" s="842" t="s">
        <v>551</v>
      </c>
      <c r="D5" s="842" t="s">
        <v>552</v>
      </c>
    </row>
    <row r="6" spans="1:4">
      <c r="A6" s="840"/>
      <c r="B6" s="841"/>
      <c r="C6" s="842"/>
      <c r="D6" s="842"/>
    </row>
    <row r="7" spans="1:4">
      <c r="A7" s="499">
        <v>1</v>
      </c>
      <c r="B7" s="499" t="s">
        <v>553</v>
      </c>
      <c r="C7" s="693">
        <v>19750975.884019978</v>
      </c>
      <c r="D7" s="523"/>
    </row>
    <row r="8" spans="1:4">
      <c r="A8" s="496">
        <v>2</v>
      </c>
      <c r="B8" s="496" t="s">
        <v>554</v>
      </c>
      <c r="C8" s="693">
        <v>17438416.142667368</v>
      </c>
      <c r="D8" s="523"/>
    </row>
    <row r="9" spans="1:4">
      <c r="A9" s="496">
        <v>3</v>
      </c>
      <c r="B9" s="526" t="s">
        <v>555</v>
      </c>
      <c r="C9" s="693">
        <v>19516.307348305894</v>
      </c>
      <c r="D9" s="523"/>
    </row>
    <row r="10" spans="1:4">
      <c r="A10" s="496">
        <v>4</v>
      </c>
      <c r="B10" s="496" t="s">
        <v>556</v>
      </c>
      <c r="C10" s="693">
        <f>SUM(C11:C17)</f>
        <v>20264871.256160565</v>
      </c>
      <c r="D10" s="523"/>
    </row>
    <row r="11" spans="1:4">
      <c r="A11" s="496">
        <v>5</v>
      </c>
      <c r="B11" s="525" t="s">
        <v>888</v>
      </c>
      <c r="C11" s="693"/>
      <c r="D11" s="523"/>
    </row>
    <row r="12" spans="1:4">
      <c r="A12" s="496">
        <v>6</v>
      </c>
      <c r="B12" s="525" t="s">
        <v>557</v>
      </c>
      <c r="C12" s="693">
        <v>3613345</v>
      </c>
      <c r="D12" s="523"/>
    </row>
    <row r="13" spans="1:4">
      <c r="A13" s="496">
        <v>7</v>
      </c>
      <c r="B13" s="525" t="s">
        <v>560</v>
      </c>
      <c r="C13" s="693">
        <v>16626277.599898009</v>
      </c>
      <c r="D13" s="523"/>
    </row>
    <row r="14" spans="1:4">
      <c r="A14" s="496">
        <v>8</v>
      </c>
      <c r="B14" s="525" t="s">
        <v>558</v>
      </c>
      <c r="C14" s="693"/>
      <c r="D14" s="496"/>
    </row>
    <row r="15" spans="1:4">
      <c r="A15" s="496">
        <v>9</v>
      </c>
      <c r="B15" s="525" t="s">
        <v>559</v>
      </c>
      <c r="C15" s="693"/>
      <c r="D15" s="496"/>
    </row>
    <row r="16" spans="1:4">
      <c r="A16" s="496">
        <v>10</v>
      </c>
      <c r="B16" s="525" t="s">
        <v>561</v>
      </c>
      <c r="C16" s="693"/>
      <c r="D16" s="496"/>
    </row>
    <row r="17" spans="1:4">
      <c r="A17" s="496">
        <v>11</v>
      </c>
      <c r="B17" s="525" t="s">
        <v>562</v>
      </c>
      <c r="C17" s="693">
        <v>25248.656262552598</v>
      </c>
      <c r="D17" s="523"/>
    </row>
    <row r="18" spans="1:4">
      <c r="A18" s="499">
        <v>12</v>
      </c>
      <c r="B18" s="524" t="s">
        <v>563</v>
      </c>
      <c r="C18" s="694">
        <f>C7+C8+C9-C10</f>
        <v>16944037.077875085</v>
      </c>
      <c r="D18" s="523"/>
    </row>
    <row r="21" spans="1:4">
      <c r="B21" s="379"/>
    </row>
    <row r="22" spans="1:4">
      <c r="B22" s="379"/>
    </row>
    <row r="23" spans="1:4">
      <c r="B23" s="38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80" zoomScaleNormal="80" workbookViewId="0">
      <selection activeCell="D8" sqref="D8:AA8"/>
    </sheetView>
  </sheetViews>
  <sheetFormatPr defaultColWidth="9.21875" defaultRowHeight="12"/>
  <cols>
    <col min="1" max="1" width="11.77734375" style="509" bestFit="1" customWidth="1"/>
    <col min="2" max="2" width="63.88671875" style="509" customWidth="1"/>
    <col min="3" max="3" width="15.5546875" style="509" customWidth="1"/>
    <col min="4" max="18" width="22.21875" style="509" customWidth="1"/>
    <col min="19" max="19" width="23.21875" style="509" bestFit="1" customWidth="1"/>
    <col min="20" max="26" width="22.21875" style="509" customWidth="1"/>
    <col min="27" max="27" width="23.21875" style="509" bestFit="1" customWidth="1"/>
    <col min="28" max="28" width="20" style="509" customWidth="1"/>
    <col min="29" max="16384" width="9.21875" style="509"/>
  </cols>
  <sheetData>
    <row r="1" spans="1:28" ht="13.8">
      <c r="A1" s="379" t="s">
        <v>111</v>
      </c>
      <c r="B1" s="307" t="str">
        <f>Info!C2</f>
        <v>სს "კრედო ბანკი"</v>
      </c>
    </row>
    <row r="2" spans="1:28">
      <c r="A2" s="379" t="s">
        <v>112</v>
      </c>
      <c r="B2" s="382">
        <f>'1. key ratios'!B2</f>
        <v>45382</v>
      </c>
      <c r="C2" s="510"/>
    </row>
    <row r="3" spans="1:28">
      <c r="A3" s="381" t="s">
        <v>564</v>
      </c>
    </row>
    <row r="5" spans="1:28" ht="15" customHeight="1">
      <c r="A5" s="843" t="s">
        <v>901</v>
      </c>
      <c r="B5" s="844"/>
      <c r="C5" s="835" t="s">
        <v>900</v>
      </c>
      <c r="D5" s="849"/>
      <c r="E5" s="849"/>
      <c r="F5" s="849"/>
      <c r="G5" s="849"/>
      <c r="H5" s="849"/>
      <c r="I5" s="849"/>
      <c r="J5" s="849"/>
      <c r="K5" s="849"/>
      <c r="L5" s="849"/>
      <c r="M5" s="849"/>
      <c r="N5" s="849"/>
      <c r="O5" s="849"/>
      <c r="P5" s="849"/>
      <c r="Q5" s="849"/>
      <c r="R5" s="849"/>
      <c r="S5" s="849"/>
      <c r="T5" s="536"/>
      <c r="U5" s="536"/>
      <c r="V5" s="536"/>
      <c r="W5" s="536"/>
      <c r="X5" s="536"/>
      <c r="Y5" s="536"/>
      <c r="Z5" s="536"/>
      <c r="AA5" s="535"/>
      <c r="AB5" s="528"/>
    </row>
    <row r="6" spans="1:28">
      <c r="A6" s="845"/>
      <c r="B6" s="846"/>
      <c r="C6" s="850" t="s">
        <v>68</v>
      </c>
      <c r="D6" s="852" t="s">
        <v>899</v>
      </c>
      <c r="E6" s="852"/>
      <c r="F6" s="852"/>
      <c r="G6" s="852"/>
      <c r="H6" s="853" t="s">
        <v>898</v>
      </c>
      <c r="I6" s="854"/>
      <c r="J6" s="854"/>
      <c r="K6" s="855"/>
      <c r="L6" s="533"/>
      <c r="M6" s="856" t="s">
        <v>897</v>
      </c>
      <c r="N6" s="856"/>
      <c r="O6" s="856"/>
      <c r="P6" s="856"/>
      <c r="Q6" s="856"/>
      <c r="R6" s="856"/>
      <c r="S6" s="833"/>
      <c r="T6" s="534"/>
      <c r="U6" s="836" t="s">
        <v>896</v>
      </c>
      <c r="V6" s="836"/>
      <c r="W6" s="836"/>
      <c r="X6" s="836"/>
      <c r="Y6" s="836"/>
      <c r="Z6" s="836"/>
      <c r="AA6" s="834"/>
      <c r="AB6" s="533"/>
    </row>
    <row r="7" spans="1:28" ht="24">
      <c r="A7" s="847"/>
      <c r="B7" s="848"/>
      <c r="C7" s="851"/>
      <c r="D7" s="532"/>
      <c r="E7" s="506" t="s">
        <v>565</v>
      </c>
      <c r="F7" s="506" t="s">
        <v>894</v>
      </c>
      <c r="G7" s="506" t="s">
        <v>895</v>
      </c>
      <c r="H7" s="531"/>
      <c r="I7" s="506" t="s">
        <v>565</v>
      </c>
      <c r="J7" s="506" t="s">
        <v>894</v>
      </c>
      <c r="K7" s="506" t="s">
        <v>895</v>
      </c>
      <c r="L7" s="530"/>
      <c r="M7" s="506" t="s">
        <v>565</v>
      </c>
      <c r="N7" s="506" t="s">
        <v>894</v>
      </c>
      <c r="O7" s="506" t="s">
        <v>893</v>
      </c>
      <c r="P7" s="506" t="s">
        <v>892</v>
      </c>
      <c r="Q7" s="506" t="s">
        <v>891</v>
      </c>
      <c r="R7" s="506" t="s">
        <v>890</v>
      </c>
      <c r="S7" s="506" t="s">
        <v>889</v>
      </c>
      <c r="T7" s="529"/>
      <c r="U7" s="506" t="s">
        <v>565</v>
      </c>
      <c r="V7" s="506" t="s">
        <v>894</v>
      </c>
      <c r="W7" s="506" t="s">
        <v>893</v>
      </c>
      <c r="X7" s="506" t="s">
        <v>892</v>
      </c>
      <c r="Y7" s="506" t="s">
        <v>891</v>
      </c>
      <c r="Z7" s="506" t="s">
        <v>890</v>
      </c>
      <c r="AA7" s="506" t="s">
        <v>889</v>
      </c>
      <c r="AB7" s="528"/>
    </row>
    <row r="8" spans="1:28">
      <c r="A8" s="527">
        <v>1</v>
      </c>
      <c r="B8" s="499" t="s">
        <v>566</v>
      </c>
      <c r="C8" s="694">
        <f>SUM(C9:C14)</f>
        <v>2086200798.1461043</v>
      </c>
      <c r="D8" s="694">
        <f>SUM(D9:D14)</f>
        <v>1984790761.529705</v>
      </c>
      <c r="E8" s="694">
        <f t="shared" ref="E8:G8" si="0">SUM(E9:E14)</f>
        <v>9551701.7237437163</v>
      </c>
      <c r="F8" s="694">
        <f t="shared" si="0"/>
        <v>0</v>
      </c>
      <c r="G8" s="694">
        <f t="shared" si="0"/>
        <v>0</v>
      </c>
      <c r="H8" s="694">
        <f>SUM(H9:H14)</f>
        <v>84465999.524759248</v>
      </c>
      <c r="I8" s="694">
        <f t="shared" ref="I8:K8" si="1">SUM(I9:I14)</f>
        <v>2880768.7756520249</v>
      </c>
      <c r="J8" s="694">
        <f t="shared" si="1"/>
        <v>17205548.323458087</v>
      </c>
      <c r="K8" s="694">
        <f t="shared" si="1"/>
        <v>0</v>
      </c>
      <c r="L8" s="694">
        <f>SUM(L9:L14)</f>
        <v>16788347.381640032</v>
      </c>
      <c r="M8" s="694">
        <f t="shared" ref="M8:S8" si="2">SUM(M9:M14)</f>
        <v>257751.19885378619</v>
      </c>
      <c r="N8" s="694">
        <f t="shared" si="2"/>
        <v>1091990.7942522918</v>
      </c>
      <c r="O8" s="694">
        <f t="shared" si="2"/>
        <v>10335766.078848461</v>
      </c>
      <c r="P8" s="694">
        <f t="shared" si="2"/>
        <v>0</v>
      </c>
      <c r="Q8" s="694">
        <f t="shared" si="2"/>
        <v>0</v>
      </c>
      <c r="R8" s="694">
        <f t="shared" si="2"/>
        <v>0</v>
      </c>
      <c r="S8" s="694">
        <f t="shared" si="2"/>
        <v>0</v>
      </c>
      <c r="T8" s="694">
        <f>SUM(T9:T14)</f>
        <v>155689.71</v>
      </c>
      <c r="U8" s="694">
        <f t="shared" ref="U8:AA8" si="3">SUM(U9:U14)</f>
        <v>22493.78</v>
      </c>
      <c r="V8" s="694">
        <f t="shared" si="3"/>
        <v>213.48</v>
      </c>
      <c r="W8" s="694">
        <f t="shared" si="3"/>
        <v>1206.8599999999999</v>
      </c>
      <c r="X8" s="694">
        <f t="shared" si="3"/>
        <v>0</v>
      </c>
      <c r="Y8" s="694">
        <f t="shared" si="3"/>
        <v>0</v>
      </c>
      <c r="Z8" s="694">
        <f t="shared" si="3"/>
        <v>0</v>
      </c>
      <c r="AA8" s="694">
        <f t="shared" si="3"/>
        <v>0</v>
      </c>
    </row>
    <row r="9" spans="1:28">
      <c r="A9" s="496">
        <v>1.1000000000000001</v>
      </c>
      <c r="B9" s="518" t="s">
        <v>567</v>
      </c>
      <c r="C9" s="518"/>
      <c r="D9" s="693"/>
      <c r="E9" s="693"/>
      <c r="F9" s="693"/>
      <c r="G9" s="693"/>
      <c r="H9" s="693"/>
      <c r="I9" s="693"/>
      <c r="J9" s="693"/>
      <c r="K9" s="693"/>
      <c r="L9" s="693"/>
      <c r="M9" s="693"/>
      <c r="N9" s="693"/>
      <c r="O9" s="693"/>
      <c r="P9" s="693"/>
      <c r="Q9" s="693"/>
      <c r="R9" s="693"/>
      <c r="S9" s="693"/>
      <c r="T9" s="693"/>
      <c r="U9" s="693"/>
      <c r="V9" s="693"/>
      <c r="W9" s="693"/>
      <c r="X9" s="693"/>
      <c r="Y9" s="693"/>
      <c r="Z9" s="693"/>
      <c r="AA9" s="693"/>
    </row>
    <row r="10" spans="1:28">
      <c r="A10" s="496">
        <v>1.2</v>
      </c>
      <c r="B10" s="518" t="s">
        <v>568</v>
      </c>
      <c r="C10" s="518"/>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row>
    <row r="11" spans="1:28">
      <c r="A11" s="496">
        <v>1.3</v>
      </c>
      <c r="B11" s="518" t="s">
        <v>569</v>
      </c>
      <c r="C11" s="518"/>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row>
    <row r="12" spans="1:28">
      <c r="A12" s="496">
        <v>1.4</v>
      </c>
      <c r="B12" s="518" t="s">
        <v>570</v>
      </c>
      <c r="C12" s="518"/>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row>
    <row r="13" spans="1:28">
      <c r="A13" s="496">
        <v>1.5</v>
      </c>
      <c r="B13" s="518" t="s">
        <v>571</v>
      </c>
      <c r="C13" s="724">
        <f>D13+H13+L13+T13</f>
        <v>107570111.0679836</v>
      </c>
      <c r="D13" s="693">
        <v>103824321.16032788</v>
      </c>
      <c r="E13" s="693">
        <v>205739.48775964181</v>
      </c>
      <c r="F13" s="693"/>
      <c r="G13" s="693"/>
      <c r="H13" s="693">
        <v>3720045.5977225755</v>
      </c>
      <c r="I13" s="693"/>
      <c r="J13" s="693">
        <v>1335046.2527866086</v>
      </c>
      <c r="K13" s="693"/>
      <c r="L13" s="693">
        <v>24957.6899331364</v>
      </c>
      <c r="M13" s="693"/>
      <c r="N13" s="693"/>
      <c r="O13" s="693">
        <v>24957.6899331364</v>
      </c>
      <c r="P13" s="693"/>
      <c r="Q13" s="693"/>
      <c r="R13" s="693"/>
      <c r="S13" s="693"/>
      <c r="T13" s="693">
        <v>786.62</v>
      </c>
      <c r="U13" s="693"/>
      <c r="V13" s="693"/>
      <c r="W13" s="693"/>
      <c r="X13" s="693"/>
      <c r="Y13" s="693"/>
      <c r="Z13" s="693"/>
      <c r="AA13" s="693"/>
    </row>
    <row r="14" spans="1:28">
      <c r="A14" s="496">
        <v>1.6</v>
      </c>
      <c r="B14" s="518" t="s">
        <v>572</v>
      </c>
      <c r="C14" s="724">
        <f>D14+H14+L14+T14</f>
        <v>1978630687.0781207</v>
      </c>
      <c r="D14" s="693">
        <v>1880966440.3693771</v>
      </c>
      <c r="E14" s="693">
        <v>9345962.235984074</v>
      </c>
      <c r="F14" s="693"/>
      <c r="G14" s="693"/>
      <c r="H14" s="693">
        <v>80745953.927036673</v>
      </c>
      <c r="I14" s="693">
        <v>2880768.7756520249</v>
      </c>
      <c r="J14" s="693">
        <v>15870502.070671478</v>
      </c>
      <c r="K14" s="693"/>
      <c r="L14" s="693">
        <v>16763389.691706896</v>
      </c>
      <c r="M14" s="693">
        <v>257751.19885378619</v>
      </c>
      <c r="N14" s="693">
        <v>1091990.7942522918</v>
      </c>
      <c r="O14" s="693">
        <v>10310808.388915325</v>
      </c>
      <c r="P14" s="693"/>
      <c r="Q14" s="693"/>
      <c r="R14" s="693"/>
      <c r="S14" s="693"/>
      <c r="T14" s="693">
        <v>154903.09</v>
      </c>
      <c r="U14" s="693">
        <v>22493.78</v>
      </c>
      <c r="V14" s="693">
        <v>213.48</v>
      </c>
      <c r="W14" s="693">
        <v>1206.8599999999999</v>
      </c>
      <c r="X14" s="693"/>
      <c r="Y14" s="693"/>
      <c r="Z14" s="693"/>
      <c r="AA14" s="693"/>
    </row>
    <row r="15" spans="1:28">
      <c r="A15" s="527">
        <v>2</v>
      </c>
      <c r="B15" s="499" t="s">
        <v>573</v>
      </c>
      <c r="C15" s="725">
        <f t="shared" ref="C15:C17" si="4">D15+H15+L15+T15</f>
        <v>22367209.940000001</v>
      </c>
      <c r="D15" s="718">
        <f>SUM(D16:D21)</f>
        <v>22367209.940000001</v>
      </c>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8">
      <c r="A16" s="496">
        <v>2.1</v>
      </c>
      <c r="B16" s="518" t="s">
        <v>567</v>
      </c>
      <c r="C16" s="725"/>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row>
    <row r="17" spans="1:27">
      <c r="A17" s="496">
        <v>2.2000000000000002</v>
      </c>
      <c r="B17" s="518" t="s">
        <v>568</v>
      </c>
      <c r="C17" s="725">
        <f t="shared" si="4"/>
        <v>22367209.940000001</v>
      </c>
      <c r="D17" s="693">
        <v>22367209.940000001</v>
      </c>
      <c r="E17" s="693"/>
      <c r="F17" s="693"/>
      <c r="G17" s="693"/>
      <c r="H17" s="693"/>
      <c r="I17" s="693"/>
      <c r="J17" s="693"/>
      <c r="K17" s="693"/>
      <c r="L17" s="693"/>
      <c r="M17" s="693"/>
      <c r="N17" s="693"/>
      <c r="O17" s="693"/>
      <c r="P17" s="693"/>
      <c r="Q17" s="693"/>
      <c r="R17" s="693"/>
      <c r="S17" s="693"/>
      <c r="T17" s="693"/>
      <c r="U17" s="693"/>
      <c r="V17" s="693"/>
      <c r="W17" s="693"/>
      <c r="X17" s="693"/>
      <c r="Y17" s="693"/>
      <c r="Z17" s="693"/>
      <c r="AA17" s="693"/>
    </row>
    <row r="18" spans="1:27">
      <c r="A18" s="496">
        <v>2.2999999999999998</v>
      </c>
      <c r="B18" s="518" t="s">
        <v>569</v>
      </c>
      <c r="C18" s="518"/>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row>
    <row r="19" spans="1:27">
      <c r="A19" s="496">
        <v>2.4</v>
      </c>
      <c r="B19" s="518" t="s">
        <v>570</v>
      </c>
      <c r="C19" s="518"/>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row>
    <row r="20" spans="1:27">
      <c r="A20" s="496">
        <v>2.5</v>
      </c>
      <c r="B20" s="518" t="s">
        <v>571</v>
      </c>
      <c r="C20" s="518"/>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row>
    <row r="21" spans="1:27">
      <c r="A21" s="496">
        <v>2.6</v>
      </c>
      <c r="B21" s="518" t="s">
        <v>572</v>
      </c>
      <c r="C21" s="518"/>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row>
    <row r="22" spans="1:27">
      <c r="A22" s="527">
        <v>3</v>
      </c>
      <c r="B22" s="499" t="s">
        <v>574</v>
      </c>
      <c r="C22" s="694">
        <f>C27+C28</f>
        <v>65829995.260000005</v>
      </c>
      <c r="D22" s="694"/>
      <c r="E22" s="723"/>
      <c r="F22" s="723"/>
      <c r="G22" s="723"/>
      <c r="H22" s="694"/>
      <c r="I22" s="723"/>
      <c r="J22" s="723"/>
      <c r="K22" s="723"/>
      <c r="L22" s="694"/>
      <c r="M22" s="723"/>
      <c r="N22" s="723"/>
      <c r="O22" s="723"/>
      <c r="P22" s="723"/>
      <c r="Q22" s="723"/>
      <c r="R22" s="723"/>
      <c r="S22" s="723"/>
      <c r="T22" s="694"/>
      <c r="U22" s="723"/>
      <c r="V22" s="723"/>
      <c r="W22" s="723"/>
      <c r="X22" s="723"/>
      <c r="Y22" s="723"/>
      <c r="Z22" s="723"/>
      <c r="AA22" s="723"/>
    </row>
    <row r="23" spans="1:27">
      <c r="A23" s="496">
        <v>3.1</v>
      </c>
      <c r="B23" s="518" t="s">
        <v>567</v>
      </c>
      <c r="C23" s="518"/>
      <c r="D23" s="694"/>
      <c r="E23" s="723"/>
      <c r="F23" s="723"/>
      <c r="G23" s="723"/>
      <c r="H23" s="694"/>
      <c r="I23" s="723"/>
      <c r="J23" s="723"/>
      <c r="K23" s="723"/>
      <c r="L23" s="694"/>
      <c r="M23" s="723"/>
      <c r="N23" s="723"/>
      <c r="O23" s="723"/>
      <c r="P23" s="723"/>
      <c r="Q23" s="723"/>
      <c r="R23" s="723"/>
      <c r="S23" s="723"/>
      <c r="T23" s="694"/>
      <c r="U23" s="723"/>
      <c r="V23" s="723"/>
      <c r="W23" s="723"/>
      <c r="X23" s="723"/>
      <c r="Y23" s="723"/>
      <c r="Z23" s="723"/>
      <c r="AA23" s="723"/>
    </row>
    <row r="24" spans="1:27">
      <c r="A24" s="496">
        <v>3.2</v>
      </c>
      <c r="B24" s="518" t="s">
        <v>568</v>
      </c>
      <c r="C24" s="518"/>
      <c r="D24" s="694"/>
      <c r="E24" s="723"/>
      <c r="F24" s="723"/>
      <c r="G24" s="723"/>
      <c r="H24" s="694"/>
      <c r="I24" s="723"/>
      <c r="J24" s="723"/>
      <c r="K24" s="723"/>
      <c r="L24" s="694"/>
      <c r="M24" s="723"/>
      <c r="N24" s="723"/>
      <c r="O24" s="723"/>
      <c r="P24" s="723"/>
      <c r="Q24" s="723"/>
      <c r="R24" s="723"/>
      <c r="S24" s="723"/>
      <c r="T24" s="694"/>
      <c r="U24" s="723"/>
      <c r="V24" s="723"/>
      <c r="W24" s="723"/>
      <c r="X24" s="723"/>
      <c r="Y24" s="723"/>
      <c r="Z24" s="723"/>
      <c r="AA24" s="723"/>
    </row>
    <row r="25" spans="1:27">
      <c r="A25" s="496">
        <v>3.3</v>
      </c>
      <c r="B25" s="518" t="s">
        <v>569</v>
      </c>
      <c r="C25" s="518"/>
      <c r="D25" s="694"/>
      <c r="E25" s="723"/>
      <c r="F25" s="723"/>
      <c r="G25" s="723"/>
      <c r="H25" s="694"/>
      <c r="I25" s="723"/>
      <c r="J25" s="723"/>
      <c r="K25" s="723"/>
      <c r="L25" s="694"/>
      <c r="M25" s="723"/>
      <c r="N25" s="723"/>
      <c r="O25" s="723"/>
      <c r="P25" s="723"/>
      <c r="Q25" s="723"/>
      <c r="R25" s="723"/>
      <c r="S25" s="723"/>
      <c r="T25" s="694"/>
      <c r="U25" s="723"/>
      <c r="V25" s="723"/>
      <c r="W25" s="723"/>
      <c r="X25" s="723"/>
      <c r="Y25" s="723"/>
      <c r="Z25" s="723"/>
      <c r="AA25" s="723"/>
    </row>
    <row r="26" spans="1:27">
      <c r="A26" s="496">
        <v>3.4</v>
      </c>
      <c r="B26" s="518" t="s">
        <v>570</v>
      </c>
      <c r="C26" s="518"/>
      <c r="D26" s="694"/>
      <c r="E26" s="723"/>
      <c r="F26" s="723"/>
      <c r="G26" s="723"/>
      <c r="H26" s="694"/>
      <c r="I26" s="723"/>
      <c r="J26" s="723"/>
      <c r="K26" s="723"/>
      <c r="L26" s="694"/>
      <c r="M26" s="723"/>
      <c r="N26" s="723"/>
      <c r="O26" s="723"/>
      <c r="P26" s="723"/>
      <c r="Q26" s="723"/>
      <c r="R26" s="723"/>
      <c r="S26" s="723"/>
      <c r="T26" s="694"/>
      <c r="U26" s="723"/>
      <c r="V26" s="723"/>
      <c r="W26" s="723"/>
      <c r="X26" s="723"/>
      <c r="Y26" s="723"/>
      <c r="Z26" s="723"/>
      <c r="AA26" s="723"/>
    </row>
    <row r="27" spans="1:27">
      <c r="A27" s="496">
        <v>3.5</v>
      </c>
      <c r="B27" s="518" t="s">
        <v>571</v>
      </c>
      <c r="C27" s="726">
        <v>5470288</v>
      </c>
      <c r="D27" s="694">
        <f>5285530+184758</f>
        <v>5470288</v>
      </c>
      <c r="E27" s="723"/>
      <c r="F27" s="723"/>
      <c r="G27" s="723"/>
      <c r="H27" s="694"/>
      <c r="I27" s="723"/>
      <c r="J27" s="723"/>
      <c r="K27" s="723"/>
      <c r="L27" s="694"/>
      <c r="M27" s="723"/>
      <c r="N27" s="723"/>
      <c r="O27" s="723"/>
      <c r="P27" s="723"/>
      <c r="Q27" s="723"/>
      <c r="R27" s="723"/>
      <c r="S27" s="723"/>
      <c r="T27" s="694"/>
      <c r="U27" s="723"/>
      <c r="V27" s="723"/>
      <c r="W27" s="723"/>
      <c r="X27" s="723"/>
      <c r="Y27" s="723"/>
      <c r="Z27" s="723"/>
      <c r="AA27" s="723"/>
    </row>
    <row r="28" spans="1:27">
      <c r="A28" s="496">
        <v>3.6</v>
      </c>
      <c r="B28" s="518" t="s">
        <v>572</v>
      </c>
      <c r="C28" s="726">
        <v>60359707.260000005</v>
      </c>
      <c r="D28" s="694"/>
      <c r="E28" s="723"/>
      <c r="F28" s="723"/>
      <c r="G28" s="723"/>
      <c r="H28" s="694"/>
      <c r="I28" s="723"/>
      <c r="J28" s="723"/>
      <c r="K28" s="723"/>
      <c r="L28" s="694"/>
      <c r="M28" s="723"/>
      <c r="N28" s="723"/>
      <c r="O28" s="723"/>
      <c r="P28" s="723"/>
      <c r="Q28" s="723"/>
      <c r="R28" s="723"/>
      <c r="S28" s="723"/>
      <c r="T28" s="694"/>
      <c r="U28" s="723"/>
      <c r="V28" s="723"/>
      <c r="W28" s="723"/>
      <c r="X28" s="723"/>
      <c r="Y28" s="723"/>
      <c r="Z28" s="723"/>
      <c r="AA28" s="72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80" zoomScaleNormal="80" workbookViewId="0">
      <selection activeCell="C11" sqref="C11:C13"/>
    </sheetView>
  </sheetViews>
  <sheetFormatPr defaultColWidth="9.21875" defaultRowHeight="12"/>
  <cols>
    <col min="1" max="1" width="11.77734375" style="509" bestFit="1" customWidth="1"/>
    <col min="2" max="2" width="90.21875" style="509" bestFit="1" customWidth="1"/>
    <col min="3" max="3" width="20.21875" style="509" customWidth="1"/>
    <col min="4" max="4" width="22.21875" style="509" customWidth="1"/>
    <col min="5" max="7" width="17.109375" style="509" customWidth="1"/>
    <col min="8" max="8" width="22.21875" style="509" customWidth="1"/>
    <col min="9" max="10" width="17.109375" style="509" customWidth="1"/>
    <col min="11" max="27" width="22.21875" style="509" customWidth="1"/>
    <col min="28" max="16384" width="9.21875" style="509"/>
  </cols>
  <sheetData>
    <row r="1" spans="1:27" ht="13.8">
      <c r="A1" s="379" t="s">
        <v>111</v>
      </c>
      <c r="B1" s="307" t="str">
        <f>Info!C2</f>
        <v>სს "კრედო ბანკი"</v>
      </c>
    </row>
    <row r="2" spans="1:27">
      <c r="A2" s="379" t="s">
        <v>112</v>
      </c>
      <c r="B2" s="382">
        <f>'1. key ratios'!B2</f>
        <v>45382</v>
      </c>
    </row>
    <row r="3" spans="1:27">
      <c r="A3" s="381" t="s">
        <v>575</v>
      </c>
      <c r="C3" s="511"/>
    </row>
    <row r="4" spans="1:27" ht="12.6" thickBot="1">
      <c r="A4" s="381"/>
      <c r="B4" s="511"/>
      <c r="C4" s="511"/>
    </row>
    <row r="5" spans="1:27" ht="13.5" customHeight="1">
      <c r="A5" s="861" t="s">
        <v>908</v>
      </c>
      <c r="B5" s="862"/>
      <c r="C5" s="858" t="s">
        <v>576</v>
      </c>
      <c r="D5" s="859"/>
      <c r="E5" s="859"/>
      <c r="F5" s="859"/>
      <c r="G5" s="859"/>
      <c r="H5" s="859"/>
      <c r="I5" s="859"/>
      <c r="J5" s="859"/>
      <c r="K5" s="859"/>
      <c r="L5" s="859"/>
      <c r="M5" s="859"/>
      <c r="N5" s="859"/>
      <c r="O5" s="859"/>
      <c r="P5" s="859"/>
      <c r="Q5" s="859"/>
      <c r="R5" s="859"/>
      <c r="S5" s="859"/>
      <c r="T5" s="859"/>
      <c r="U5" s="859"/>
      <c r="V5" s="859"/>
      <c r="W5" s="859"/>
      <c r="X5" s="859"/>
      <c r="Y5" s="859"/>
      <c r="Z5" s="859"/>
      <c r="AA5" s="860"/>
    </row>
    <row r="6" spans="1:27" ht="12" customHeight="1">
      <c r="A6" s="863"/>
      <c r="B6" s="864"/>
      <c r="C6" s="867" t="s">
        <v>68</v>
      </c>
      <c r="D6" s="832" t="s">
        <v>899</v>
      </c>
      <c r="E6" s="832"/>
      <c r="F6" s="832"/>
      <c r="G6" s="832"/>
      <c r="H6" s="853" t="s">
        <v>898</v>
      </c>
      <c r="I6" s="854"/>
      <c r="J6" s="854"/>
      <c r="K6" s="854"/>
      <c r="L6" s="534"/>
      <c r="M6" s="836" t="s">
        <v>897</v>
      </c>
      <c r="N6" s="836"/>
      <c r="O6" s="836"/>
      <c r="P6" s="836"/>
      <c r="Q6" s="836"/>
      <c r="R6" s="836"/>
      <c r="S6" s="834"/>
      <c r="T6" s="534"/>
      <c r="U6" s="836" t="s">
        <v>896</v>
      </c>
      <c r="V6" s="836"/>
      <c r="W6" s="836"/>
      <c r="X6" s="836"/>
      <c r="Y6" s="836"/>
      <c r="Z6" s="836"/>
      <c r="AA6" s="857"/>
    </row>
    <row r="7" spans="1:27" ht="36">
      <c r="A7" s="865"/>
      <c r="B7" s="866"/>
      <c r="C7" s="868"/>
      <c r="D7" s="532"/>
      <c r="E7" s="506" t="s">
        <v>565</v>
      </c>
      <c r="F7" s="506" t="s">
        <v>894</v>
      </c>
      <c r="G7" s="506" t="s">
        <v>895</v>
      </c>
      <c r="H7" s="510"/>
      <c r="I7" s="506" t="s">
        <v>565</v>
      </c>
      <c r="J7" s="506" t="s">
        <v>894</v>
      </c>
      <c r="K7" s="506" t="s">
        <v>895</v>
      </c>
      <c r="L7" s="529"/>
      <c r="M7" s="506" t="s">
        <v>565</v>
      </c>
      <c r="N7" s="506" t="s">
        <v>907</v>
      </c>
      <c r="O7" s="506" t="s">
        <v>906</v>
      </c>
      <c r="P7" s="506" t="s">
        <v>905</v>
      </c>
      <c r="Q7" s="506" t="s">
        <v>904</v>
      </c>
      <c r="R7" s="506" t="s">
        <v>903</v>
      </c>
      <c r="S7" s="506" t="s">
        <v>889</v>
      </c>
      <c r="T7" s="529"/>
      <c r="U7" s="506" t="s">
        <v>565</v>
      </c>
      <c r="V7" s="506" t="s">
        <v>907</v>
      </c>
      <c r="W7" s="506" t="s">
        <v>906</v>
      </c>
      <c r="X7" s="506" t="s">
        <v>905</v>
      </c>
      <c r="Y7" s="506" t="s">
        <v>904</v>
      </c>
      <c r="Z7" s="506" t="s">
        <v>903</v>
      </c>
      <c r="AA7" s="506" t="s">
        <v>889</v>
      </c>
    </row>
    <row r="8" spans="1:27">
      <c r="A8" s="555">
        <v>1</v>
      </c>
      <c r="B8" s="554" t="s">
        <v>566</v>
      </c>
      <c r="C8" s="727">
        <f>D8+H8+L8+T8</f>
        <v>2086200798.1461043</v>
      </c>
      <c r="D8" s="693">
        <v>1984790761.529705</v>
      </c>
      <c r="E8" s="693">
        <v>9551701.7237437163</v>
      </c>
      <c r="F8" s="693">
        <v>0</v>
      </c>
      <c r="G8" s="693">
        <v>0</v>
      </c>
      <c r="H8" s="693">
        <v>84465999.524759248</v>
      </c>
      <c r="I8" s="693">
        <v>2880768.7756520249</v>
      </c>
      <c r="J8" s="693">
        <v>17205548.323458087</v>
      </c>
      <c r="K8" s="693">
        <v>0</v>
      </c>
      <c r="L8" s="693">
        <v>16788347.381640032</v>
      </c>
      <c r="M8" s="693">
        <v>257751.19885378619</v>
      </c>
      <c r="N8" s="693">
        <v>1091990.7942522918</v>
      </c>
      <c r="O8" s="693">
        <v>10335766.078848461</v>
      </c>
      <c r="P8" s="693">
        <v>0</v>
      </c>
      <c r="Q8" s="693">
        <v>0</v>
      </c>
      <c r="R8" s="693">
        <v>0</v>
      </c>
      <c r="S8" s="693">
        <v>0</v>
      </c>
      <c r="T8" s="693">
        <v>155689.71</v>
      </c>
      <c r="U8" s="693">
        <v>22493.78</v>
      </c>
      <c r="V8" s="693">
        <v>213.48</v>
      </c>
      <c r="W8" s="693">
        <v>1206.8599999999999</v>
      </c>
      <c r="X8" s="693">
        <v>0</v>
      </c>
      <c r="Y8" s="693">
        <v>0</v>
      </c>
      <c r="Z8" s="693">
        <v>0</v>
      </c>
      <c r="AA8" s="732">
        <v>0</v>
      </c>
    </row>
    <row r="9" spans="1:27">
      <c r="A9" s="547">
        <v>1.1000000000000001</v>
      </c>
      <c r="B9" s="553" t="s">
        <v>577</v>
      </c>
      <c r="C9" s="728">
        <f>D9+H9+L9+T9</f>
        <v>984928134.0707854</v>
      </c>
      <c r="D9" s="693">
        <v>947927053.1709367</v>
      </c>
      <c r="E9" s="693">
        <v>4226338.0058363164</v>
      </c>
      <c r="F9" s="693"/>
      <c r="G9" s="693"/>
      <c r="H9" s="693">
        <v>32446259.754757486</v>
      </c>
      <c r="I9" s="693">
        <v>1274386.654545527</v>
      </c>
      <c r="J9" s="693">
        <v>5419254.5055955742</v>
      </c>
      <c r="K9" s="693"/>
      <c r="L9" s="693">
        <v>4438623.4050911916</v>
      </c>
      <c r="M9" s="693">
        <v>56166.96377359725</v>
      </c>
      <c r="N9" s="693">
        <v>236594.56102334324</v>
      </c>
      <c r="O9" s="693">
        <v>2523722.6385744391</v>
      </c>
      <c r="P9" s="693"/>
      <c r="Q9" s="693"/>
      <c r="R9" s="693"/>
      <c r="S9" s="693"/>
      <c r="T9" s="693">
        <v>116197.74</v>
      </c>
      <c r="U9" s="693">
        <v>22493.78</v>
      </c>
      <c r="V9" s="693"/>
      <c r="W9" s="693">
        <v>1206.8599999999999</v>
      </c>
      <c r="X9" s="693"/>
      <c r="Y9" s="693"/>
      <c r="Z9" s="693"/>
      <c r="AA9" s="732"/>
    </row>
    <row r="10" spans="1:27">
      <c r="A10" s="551" t="s">
        <v>161</v>
      </c>
      <c r="B10" s="552" t="s">
        <v>578</v>
      </c>
      <c r="C10" s="729">
        <f>SUM(C11:C14)</f>
        <v>629667443.11939216</v>
      </c>
      <c r="D10" s="731">
        <f t="shared" ref="D10:AA10" si="0">SUM(D11:D14)</f>
        <v>612289178.86366296</v>
      </c>
      <c r="E10" s="731">
        <f t="shared" si="0"/>
        <v>2257971.3569379142</v>
      </c>
      <c r="F10" s="731">
        <f t="shared" si="0"/>
        <v>0</v>
      </c>
      <c r="G10" s="731">
        <f t="shared" si="0"/>
        <v>0</v>
      </c>
      <c r="H10" s="731">
        <f t="shared" si="0"/>
        <v>15795135.664832663</v>
      </c>
      <c r="I10" s="731">
        <f t="shared" si="0"/>
        <v>855985.83189657296</v>
      </c>
      <c r="J10" s="731">
        <f t="shared" si="0"/>
        <v>2485677.0027366499</v>
      </c>
      <c r="K10" s="731">
        <f t="shared" si="0"/>
        <v>0</v>
      </c>
      <c r="L10" s="731">
        <f t="shared" si="0"/>
        <v>1571737.2208966468</v>
      </c>
      <c r="M10" s="731">
        <f t="shared" si="0"/>
        <v>0</v>
      </c>
      <c r="N10" s="731">
        <f t="shared" si="0"/>
        <v>59851.88</v>
      </c>
      <c r="O10" s="731">
        <f t="shared" si="0"/>
        <v>928886.80893295666</v>
      </c>
      <c r="P10" s="731">
        <f t="shared" si="0"/>
        <v>0</v>
      </c>
      <c r="Q10" s="731">
        <f t="shared" si="0"/>
        <v>0</v>
      </c>
      <c r="R10" s="731">
        <f t="shared" si="0"/>
        <v>0</v>
      </c>
      <c r="S10" s="729">
        <f t="shared" si="0"/>
        <v>0</v>
      </c>
      <c r="T10" s="729">
        <f t="shared" si="0"/>
        <v>11391.37</v>
      </c>
      <c r="U10" s="731">
        <f t="shared" si="0"/>
        <v>3777.33</v>
      </c>
      <c r="V10" s="731">
        <f t="shared" si="0"/>
        <v>0</v>
      </c>
      <c r="W10" s="731">
        <f t="shared" si="0"/>
        <v>1206.8599999999999</v>
      </c>
      <c r="X10" s="731">
        <f t="shared" si="0"/>
        <v>0</v>
      </c>
      <c r="Y10" s="731">
        <f t="shared" si="0"/>
        <v>0</v>
      </c>
      <c r="Z10" s="731">
        <f t="shared" si="0"/>
        <v>0</v>
      </c>
      <c r="AA10" s="731">
        <f t="shared" si="0"/>
        <v>0</v>
      </c>
    </row>
    <row r="11" spans="1:27">
      <c r="A11" s="549" t="s">
        <v>579</v>
      </c>
      <c r="B11" s="550" t="s">
        <v>580</v>
      </c>
      <c r="C11" s="728">
        <f>D11+H11+L11+T11</f>
        <v>382765913.70619571</v>
      </c>
      <c r="D11" s="693">
        <v>372419662.22545427</v>
      </c>
      <c r="E11" s="693">
        <v>409337.85070108966</v>
      </c>
      <c r="F11" s="693"/>
      <c r="G11" s="693"/>
      <c r="H11" s="693">
        <v>9749333.6327735782</v>
      </c>
      <c r="I11" s="693">
        <v>695336.35081975639</v>
      </c>
      <c r="J11" s="693">
        <v>2070308.0368733888</v>
      </c>
      <c r="K11" s="693"/>
      <c r="L11" s="693">
        <v>585526.47796786763</v>
      </c>
      <c r="M11" s="693"/>
      <c r="N11" s="693"/>
      <c r="O11" s="693">
        <v>439049.92930713732</v>
      </c>
      <c r="P11" s="693"/>
      <c r="Q11" s="693"/>
      <c r="R11" s="693"/>
      <c r="S11" s="693"/>
      <c r="T11" s="693">
        <v>11391.37</v>
      </c>
      <c r="U11" s="693">
        <v>3777.33</v>
      </c>
      <c r="V11" s="693"/>
      <c r="W11" s="693">
        <v>1206.8599999999999</v>
      </c>
      <c r="X11" s="693"/>
      <c r="Y11" s="693"/>
      <c r="Z11" s="693"/>
      <c r="AA11" s="732"/>
    </row>
    <row r="12" spans="1:27">
      <c r="A12" s="549" t="s">
        <v>581</v>
      </c>
      <c r="B12" s="550" t="s">
        <v>582</v>
      </c>
      <c r="C12" s="728">
        <f t="shared" ref="C12:C15" si="1">D12+H12+L12+T12</f>
        <v>134588935.63220257</v>
      </c>
      <c r="D12" s="693">
        <v>132765233.7617556</v>
      </c>
      <c r="E12" s="693">
        <v>587310.10477899411</v>
      </c>
      <c r="F12" s="693"/>
      <c r="G12" s="693"/>
      <c r="H12" s="693">
        <v>1780047.1990355169</v>
      </c>
      <c r="I12" s="693">
        <v>47037.505676006898</v>
      </c>
      <c r="J12" s="693">
        <v>217601.18554379139</v>
      </c>
      <c r="K12" s="693"/>
      <c r="L12" s="693">
        <v>43654.671411455798</v>
      </c>
      <c r="M12" s="693"/>
      <c r="N12" s="693"/>
      <c r="O12" s="693">
        <v>43654.671411455798</v>
      </c>
      <c r="P12" s="693"/>
      <c r="Q12" s="693"/>
      <c r="R12" s="693"/>
      <c r="S12" s="693"/>
      <c r="T12" s="693"/>
      <c r="U12" s="693"/>
      <c r="V12" s="693"/>
      <c r="W12" s="693"/>
      <c r="X12" s="693"/>
      <c r="Y12" s="693"/>
      <c r="Z12" s="693"/>
      <c r="AA12" s="732"/>
    </row>
    <row r="13" spans="1:27">
      <c r="A13" s="549" t="s">
        <v>583</v>
      </c>
      <c r="B13" s="550" t="s">
        <v>584</v>
      </c>
      <c r="C13" s="728">
        <f t="shared" si="1"/>
        <v>44677149.795929648</v>
      </c>
      <c r="D13" s="693">
        <v>42981585.693939805</v>
      </c>
      <c r="E13" s="693">
        <v>1088814.4343555099</v>
      </c>
      <c r="F13" s="693"/>
      <c r="G13" s="693"/>
      <c r="H13" s="693">
        <v>1695564.101989843</v>
      </c>
      <c r="I13" s="693">
        <v>5881.9510708786702</v>
      </c>
      <c r="J13" s="693"/>
      <c r="K13" s="693"/>
      <c r="L13" s="693"/>
      <c r="M13" s="693"/>
      <c r="N13" s="693"/>
      <c r="O13" s="693"/>
      <c r="P13" s="693"/>
      <c r="Q13" s="693"/>
      <c r="R13" s="693"/>
      <c r="S13" s="693"/>
      <c r="T13" s="693"/>
      <c r="U13" s="693"/>
      <c r="V13" s="693"/>
      <c r="W13" s="693"/>
      <c r="X13" s="693"/>
      <c r="Y13" s="693"/>
      <c r="Z13" s="693"/>
      <c r="AA13" s="732"/>
    </row>
    <row r="14" spans="1:27">
      <c r="A14" s="549" t="s">
        <v>585</v>
      </c>
      <c r="B14" s="550" t="s">
        <v>586</v>
      </c>
      <c r="C14" s="728">
        <f t="shared" si="1"/>
        <v>67635443.985064253</v>
      </c>
      <c r="D14" s="693">
        <v>64122697.182513207</v>
      </c>
      <c r="E14" s="693">
        <v>172508.96710232043</v>
      </c>
      <c r="F14" s="693"/>
      <c r="G14" s="693"/>
      <c r="H14" s="693">
        <v>2570190.7310337247</v>
      </c>
      <c r="I14" s="693">
        <v>107730.024329931</v>
      </c>
      <c r="J14" s="693">
        <v>197767.7803194694</v>
      </c>
      <c r="K14" s="693"/>
      <c r="L14" s="693">
        <v>942556.07151732338</v>
      </c>
      <c r="M14" s="693"/>
      <c r="N14" s="693">
        <v>59851.88</v>
      </c>
      <c r="O14" s="693">
        <v>446182.20821436355</v>
      </c>
      <c r="P14" s="693"/>
      <c r="Q14" s="693"/>
      <c r="R14" s="693"/>
      <c r="S14" s="693"/>
      <c r="T14" s="693"/>
      <c r="U14" s="693"/>
      <c r="V14" s="693"/>
      <c r="W14" s="693"/>
      <c r="X14" s="693"/>
      <c r="Y14" s="693"/>
      <c r="Z14" s="693"/>
      <c r="AA14" s="732"/>
    </row>
    <row r="15" spans="1:27">
      <c r="A15" s="548">
        <v>1.2</v>
      </c>
      <c r="B15" s="546" t="s">
        <v>902</v>
      </c>
      <c r="C15" s="728">
        <f t="shared" si="1"/>
        <v>5209944.0697576795</v>
      </c>
      <c r="D15" s="693">
        <v>2214354.7960944092</v>
      </c>
      <c r="E15" s="693">
        <v>270503.6036209655</v>
      </c>
      <c r="F15" s="693"/>
      <c r="G15" s="693"/>
      <c r="H15" s="693">
        <v>1992032.9757621516</v>
      </c>
      <c r="I15" s="693">
        <v>57216.437700944603</v>
      </c>
      <c r="J15" s="693">
        <v>628247.43195666256</v>
      </c>
      <c r="K15" s="693"/>
      <c r="L15" s="693">
        <v>996754.5343825873</v>
      </c>
      <c r="M15" s="693"/>
      <c r="N15" s="693">
        <v>36242.302646163997</v>
      </c>
      <c r="O15" s="693">
        <v>575788.14841138211</v>
      </c>
      <c r="P15" s="693"/>
      <c r="Q15" s="693"/>
      <c r="R15" s="693"/>
      <c r="S15" s="693"/>
      <c r="T15" s="693">
        <v>6801.763518530448</v>
      </c>
      <c r="U15" s="693">
        <v>442.01020031870797</v>
      </c>
      <c r="V15" s="693"/>
      <c r="W15" s="693">
        <v>1008.04985127699</v>
      </c>
      <c r="X15" s="693"/>
      <c r="Y15" s="693"/>
      <c r="Z15" s="693"/>
      <c r="AA15" s="732"/>
    </row>
    <row r="16" spans="1:27">
      <c r="A16" s="547">
        <v>1.3</v>
      </c>
      <c r="B16" s="546" t="s">
        <v>587</v>
      </c>
      <c r="C16" s="733"/>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5"/>
    </row>
    <row r="17" spans="1:27" ht="24">
      <c r="A17" s="543" t="s">
        <v>588</v>
      </c>
      <c r="B17" s="545" t="s">
        <v>589</v>
      </c>
      <c r="C17" s="730">
        <f>D17+H17+L17+T17</f>
        <v>966469124.95316088</v>
      </c>
      <c r="D17" s="693">
        <v>930714536.54442322</v>
      </c>
      <c r="E17" s="693">
        <v>4176557.0586232143</v>
      </c>
      <c r="F17" s="693"/>
      <c r="G17" s="693"/>
      <c r="H17" s="693">
        <v>31520174.255101398</v>
      </c>
      <c r="I17" s="693">
        <v>1236696.7488573333</v>
      </c>
      <c r="J17" s="693">
        <v>5264141.2052769577</v>
      </c>
      <c r="K17" s="693"/>
      <c r="L17" s="693">
        <v>4118216.4136361582</v>
      </c>
      <c r="M17" s="693">
        <v>54779.366473149377</v>
      </c>
      <c r="N17" s="693">
        <v>215196.15726963431</v>
      </c>
      <c r="O17" s="693">
        <v>2344204.5687925825</v>
      </c>
      <c r="P17" s="693"/>
      <c r="Q17" s="693"/>
      <c r="R17" s="693"/>
      <c r="S17" s="693"/>
      <c r="T17" s="693">
        <v>116197.74</v>
      </c>
      <c r="U17" s="693">
        <v>22493.78</v>
      </c>
      <c r="V17" s="693"/>
      <c r="W17" s="693">
        <v>1206.8599999999999</v>
      </c>
      <c r="X17" s="693"/>
      <c r="Y17" s="693"/>
      <c r="Z17" s="693"/>
      <c r="AA17" s="732"/>
    </row>
    <row r="18" spans="1:27" ht="24">
      <c r="A18" s="541" t="s">
        <v>590</v>
      </c>
      <c r="B18" s="542" t="s">
        <v>591</v>
      </c>
      <c r="C18" s="730">
        <f t="shared" ref="C18:C22" si="2">D18+H18+L18+T18</f>
        <v>611446912.43103445</v>
      </c>
      <c r="D18" s="693">
        <v>594903135.56907725</v>
      </c>
      <c r="E18" s="693">
        <v>2157696.4298355938</v>
      </c>
      <c r="F18" s="693"/>
      <c r="G18" s="693"/>
      <c r="H18" s="693">
        <v>15197538.972577855</v>
      </c>
      <c r="I18" s="693">
        <v>796771.20756664197</v>
      </c>
      <c r="J18" s="693">
        <v>2445584.2724171802</v>
      </c>
      <c r="K18" s="693"/>
      <c r="L18" s="693">
        <v>1334846.5193793236</v>
      </c>
      <c r="M18" s="693"/>
      <c r="N18" s="693">
        <v>45820.1</v>
      </c>
      <c r="O18" s="693">
        <v>848995.87071859324</v>
      </c>
      <c r="P18" s="693"/>
      <c r="Q18" s="693"/>
      <c r="R18" s="693"/>
      <c r="S18" s="693"/>
      <c r="T18" s="693">
        <v>11391.37</v>
      </c>
      <c r="U18" s="693">
        <v>3777.33</v>
      </c>
      <c r="V18" s="693"/>
      <c r="W18" s="693">
        <v>1206.8599999999999</v>
      </c>
      <c r="X18" s="693"/>
      <c r="Y18" s="693"/>
      <c r="Z18" s="693"/>
      <c r="AA18" s="732"/>
    </row>
    <row r="19" spans="1:27">
      <c r="A19" s="543" t="s">
        <v>592</v>
      </c>
      <c r="B19" s="544" t="s">
        <v>593</v>
      </c>
      <c r="C19" s="730">
        <f t="shared" si="2"/>
        <v>1594693814.5732183</v>
      </c>
      <c r="D19" s="693">
        <v>1541192133.2620425</v>
      </c>
      <c r="E19" s="693">
        <v>5361700.5037177596</v>
      </c>
      <c r="F19" s="693"/>
      <c r="G19" s="693"/>
      <c r="H19" s="693">
        <v>48487210.969094805</v>
      </c>
      <c r="I19" s="693">
        <v>1116995.7483314271</v>
      </c>
      <c r="J19" s="693">
        <v>10201494.813044218</v>
      </c>
      <c r="K19" s="693"/>
      <c r="L19" s="693">
        <v>3744271.4820811646</v>
      </c>
      <c r="M19" s="693">
        <v>48252.846226402748</v>
      </c>
      <c r="N19" s="693">
        <v>60437.828976656761</v>
      </c>
      <c r="O19" s="693">
        <v>2324796.5518931937</v>
      </c>
      <c r="P19" s="693"/>
      <c r="Q19" s="693"/>
      <c r="R19" s="693"/>
      <c r="S19" s="693"/>
      <c r="T19" s="693">
        <v>1270198.8599999999</v>
      </c>
      <c r="U19" s="693">
        <v>214325.52000000002</v>
      </c>
      <c r="V19" s="693"/>
      <c r="W19" s="693">
        <v>7678.7858466939006</v>
      </c>
      <c r="X19" s="693"/>
      <c r="Y19" s="693"/>
      <c r="Z19" s="693"/>
      <c r="AA19" s="732"/>
    </row>
    <row r="20" spans="1:27">
      <c r="A20" s="541" t="s">
        <v>594</v>
      </c>
      <c r="B20" s="542" t="s">
        <v>595</v>
      </c>
      <c r="C20" s="730">
        <f t="shared" si="2"/>
        <v>693003323.2963661</v>
      </c>
      <c r="D20" s="693">
        <v>677862791.2684207</v>
      </c>
      <c r="E20" s="693">
        <v>1239210.3753851624</v>
      </c>
      <c r="F20" s="693"/>
      <c r="G20" s="693"/>
      <c r="H20" s="693">
        <v>14325589.961669642</v>
      </c>
      <c r="I20" s="693">
        <v>547390.79359738063</v>
      </c>
      <c r="J20" s="693">
        <v>3644170.4017861406</v>
      </c>
      <c r="K20" s="693"/>
      <c r="L20" s="693">
        <v>686177.83627571142</v>
      </c>
      <c r="M20" s="693"/>
      <c r="N20" s="693"/>
      <c r="O20" s="693">
        <v>590645.33153467835</v>
      </c>
      <c r="P20" s="693"/>
      <c r="Q20" s="693"/>
      <c r="R20" s="693"/>
      <c r="S20" s="693"/>
      <c r="T20" s="693">
        <v>128764.23000000001</v>
      </c>
      <c r="U20" s="693">
        <v>79776.97</v>
      </c>
      <c r="V20" s="693"/>
      <c r="W20" s="693">
        <v>7678.7858466939006</v>
      </c>
      <c r="X20" s="693"/>
      <c r="Y20" s="693"/>
      <c r="Z20" s="693"/>
      <c r="AA20" s="732"/>
    </row>
    <row r="21" spans="1:27">
      <c r="A21" s="540">
        <v>1.4</v>
      </c>
      <c r="B21" s="539" t="s">
        <v>685</v>
      </c>
      <c r="C21" s="730">
        <f t="shared" si="2"/>
        <v>83962.200000000012</v>
      </c>
      <c r="D21" s="693">
        <v>83962.200000000012</v>
      </c>
      <c r="E21" s="693"/>
      <c r="F21" s="693"/>
      <c r="G21" s="693"/>
      <c r="H21" s="693"/>
      <c r="I21" s="693"/>
      <c r="J21" s="693"/>
      <c r="K21" s="693"/>
      <c r="L21" s="693"/>
      <c r="M21" s="693"/>
      <c r="N21" s="693"/>
      <c r="O21" s="693"/>
      <c r="P21" s="693"/>
      <c r="Q21" s="693"/>
      <c r="R21" s="693"/>
      <c r="S21" s="693"/>
      <c r="T21" s="693"/>
      <c r="U21" s="693"/>
      <c r="V21" s="693"/>
      <c r="W21" s="693"/>
      <c r="X21" s="693"/>
      <c r="Y21" s="693"/>
      <c r="Z21" s="693"/>
      <c r="AA21" s="732"/>
    </row>
    <row r="22" spans="1:27" ht="12.6" thickBot="1">
      <c r="A22" s="538">
        <v>1.5</v>
      </c>
      <c r="B22" s="537" t="s">
        <v>686</v>
      </c>
      <c r="C22" s="730">
        <f t="shared" si="2"/>
        <v>0</v>
      </c>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7"/>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topLeftCell="A5" zoomScale="85" zoomScaleNormal="85" workbookViewId="0">
      <selection activeCell="H33" sqref="H33"/>
    </sheetView>
  </sheetViews>
  <sheetFormatPr defaultColWidth="9.21875" defaultRowHeight="12"/>
  <cols>
    <col min="1" max="1" width="11.77734375" style="509" bestFit="1" customWidth="1"/>
    <col min="2" max="2" width="69.44140625" style="509" customWidth="1"/>
    <col min="3" max="3" width="14.6640625" style="509" customWidth="1"/>
    <col min="4" max="5" width="16.109375" style="509" customWidth="1"/>
    <col min="6" max="6" width="16.109375" style="528" customWidth="1"/>
    <col min="7" max="7" width="25.21875" style="528" customWidth="1"/>
    <col min="8" max="8" width="16.109375" style="509" customWidth="1"/>
    <col min="9" max="11" width="16.109375" style="528" customWidth="1"/>
    <col min="12" max="12" width="22" style="528" customWidth="1"/>
    <col min="13" max="16384" width="9.21875" style="509"/>
  </cols>
  <sheetData>
    <row r="1" spans="1:12" ht="13.8">
      <c r="A1" s="379" t="s">
        <v>111</v>
      </c>
      <c r="B1" s="307" t="str">
        <f>Info!C2</f>
        <v>სს "კრედო ბანკი"</v>
      </c>
      <c r="F1" s="509"/>
      <c r="G1" s="509"/>
      <c r="I1" s="509"/>
      <c r="J1" s="509"/>
      <c r="K1" s="509"/>
      <c r="L1" s="509"/>
    </row>
    <row r="2" spans="1:12">
      <c r="A2" s="379" t="s">
        <v>112</v>
      </c>
      <c r="B2" s="382">
        <f>'1. key ratios'!B2</f>
        <v>45382</v>
      </c>
      <c r="F2" s="509"/>
      <c r="G2" s="509"/>
      <c r="I2" s="509"/>
      <c r="J2" s="509"/>
      <c r="K2" s="509"/>
      <c r="L2" s="509"/>
    </row>
    <row r="3" spans="1:12">
      <c r="A3" s="381" t="s">
        <v>598</v>
      </c>
      <c r="F3" s="509"/>
      <c r="G3" s="509"/>
      <c r="I3" s="509"/>
      <c r="J3" s="509"/>
      <c r="K3" s="509"/>
      <c r="L3" s="509"/>
    </row>
    <row r="4" spans="1:12">
      <c r="F4" s="509"/>
      <c r="G4" s="509"/>
      <c r="I4" s="509"/>
      <c r="J4" s="509"/>
      <c r="K4" s="509"/>
      <c r="L4" s="509"/>
    </row>
    <row r="5" spans="1:12" ht="37.5" customHeight="1">
      <c r="A5" s="820" t="s">
        <v>599</v>
      </c>
      <c r="B5" s="821"/>
      <c r="C5" s="869" t="s">
        <v>600</v>
      </c>
      <c r="D5" s="870"/>
      <c r="E5" s="870"/>
      <c r="F5" s="870"/>
      <c r="G5" s="870"/>
      <c r="H5" s="869" t="s">
        <v>909</v>
      </c>
      <c r="I5" s="871"/>
      <c r="J5" s="871"/>
      <c r="K5" s="871"/>
      <c r="L5" s="872"/>
    </row>
    <row r="6" spans="1:12" ht="39.450000000000003" customHeight="1">
      <c r="A6" s="824"/>
      <c r="B6" s="825"/>
      <c r="C6" s="386"/>
      <c r="D6" s="507" t="s">
        <v>899</v>
      </c>
      <c r="E6" s="507" t="s">
        <v>898</v>
      </c>
      <c r="F6" s="507" t="s">
        <v>897</v>
      </c>
      <c r="G6" s="507" t="s">
        <v>896</v>
      </c>
      <c r="H6" s="529"/>
      <c r="I6" s="507" t="s">
        <v>899</v>
      </c>
      <c r="J6" s="507" t="s">
        <v>898</v>
      </c>
      <c r="K6" s="507" t="s">
        <v>897</v>
      </c>
      <c r="L6" s="507" t="s">
        <v>896</v>
      </c>
    </row>
    <row r="7" spans="1:12" ht="17.399999999999999">
      <c r="A7" s="496">
        <v>1</v>
      </c>
      <c r="B7" s="512" t="s">
        <v>522</v>
      </c>
      <c r="C7" s="720">
        <f>SUM(D7:G7)</f>
        <v>19875026.720000003</v>
      </c>
      <c r="D7" s="693">
        <v>19312127.010000002</v>
      </c>
      <c r="E7" s="693">
        <v>502809.96</v>
      </c>
      <c r="F7" s="693">
        <v>60089.75</v>
      </c>
      <c r="G7" s="715">
        <v>0</v>
      </c>
      <c r="H7" s="720">
        <f t="shared" ref="H7:H33" si="0">SUM(I7:L7)</f>
        <v>343410.72000000003</v>
      </c>
      <c r="I7" s="716">
        <v>189790.91</v>
      </c>
      <c r="J7" s="716">
        <v>104072.54</v>
      </c>
      <c r="K7" s="716">
        <v>49547.27</v>
      </c>
      <c r="L7" s="715">
        <v>0</v>
      </c>
    </row>
    <row r="8" spans="1:12">
      <c r="A8" s="496">
        <v>2</v>
      </c>
      <c r="B8" s="512" t="s">
        <v>523</v>
      </c>
      <c r="C8" s="720">
        <f t="shared" ref="C8:C33" si="1">SUM(D8:G8)</f>
        <v>11932602.200000001</v>
      </c>
      <c r="D8" s="693">
        <v>11756103.960000001</v>
      </c>
      <c r="E8" s="693">
        <v>148030.03</v>
      </c>
      <c r="F8" s="716">
        <v>28468.21</v>
      </c>
      <c r="G8" s="716">
        <v>0</v>
      </c>
      <c r="H8" s="720">
        <f t="shared" si="0"/>
        <v>136299.37</v>
      </c>
      <c r="I8" s="716">
        <v>88846.28</v>
      </c>
      <c r="J8" s="716">
        <v>24009.1</v>
      </c>
      <c r="K8" s="716">
        <v>23443.99</v>
      </c>
      <c r="L8" s="716">
        <v>0</v>
      </c>
    </row>
    <row r="9" spans="1:12">
      <c r="A9" s="496">
        <v>3</v>
      </c>
      <c r="B9" s="512" t="s">
        <v>875</v>
      </c>
      <c r="C9" s="720">
        <f t="shared" si="1"/>
        <v>6055713.7799999993</v>
      </c>
      <c r="D9" s="693">
        <v>5769680.96</v>
      </c>
      <c r="E9" s="693">
        <v>203602.56</v>
      </c>
      <c r="F9" s="717">
        <v>82430.259999999995</v>
      </c>
      <c r="G9" s="717">
        <v>0</v>
      </c>
      <c r="H9" s="720">
        <f t="shared" si="0"/>
        <v>148132.97999999998</v>
      </c>
      <c r="I9" s="717">
        <v>53868.71</v>
      </c>
      <c r="J9" s="717">
        <v>26003.07</v>
      </c>
      <c r="K9" s="717">
        <v>68261.2</v>
      </c>
      <c r="L9" s="717">
        <v>0</v>
      </c>
    </row>
    <row r="10" spans="1:12">
      <c r="A10" s="496">
        <v>4</v>
      </c>
      <c r="B10" s="512" t="s">
        <v>524</v>
      </c>
      <c r="C10" s="720">
        <f t="shared" si="1"/>
        <v>11638840.17</v>
      </c>
      <c r="D10" s="693">
        <v>11520348.890000001</v>
      </c>
      <c r="E10" s="693">
        <v>117033.68</v>
      </c>
      <c r="F10" s="717">
        <v>1457.6</v>
      </c>
      <c r="G10" s="717">
        <v>0</v>
      </c>
      <c r="H10" s="720">
        <f t="shared" si="0"/>
        <v>71118.460000000006</v>
      </c>
      <c r="I10" s="717">
        <v>30996.35</v>
      </c>
      <c r="J10" s="717">
        <v>38892.81</v>
      </c>
      <c r="K10" s="717">
        <v>1229.3</v>
      </c>
      <c r="L10" s="717">
        <v>0</v>
      </c>
    </row>
    <row r="11" spans="1:12">
      <c r="A11" s="496">
        <v>5</v>
      </c>
      <c r="B11" s="512" t="s">
        <v>525</v>
      </c>
      <c r="C11" s="720">
        <f t="shared" si="1"/>
        <v>36761035.440000005</v>
      </c>
      <c r="D11" s="693">
        <v>36319852.130000003</v>
      </c>
      <c r="E11" s="693">
        <v>415348.74</v>
      </c>
      <c r="F11" s="717">
        <v>25834.57</v>
      </c>
      <c r="G11" s="717">
        <v>0</v>
      </c>
      <c r="H11" s="720">
        <f t="shared" si="0"/>
        <v>386445.98</v>
      </c>
      <c r="I11" s="717">
        <v>289773.94</v>
      </c>
      <c r="J11" s="717">
        <v>75108.399999999994</v>
      </c>
      <c r="K11" s="717">
        <v>21563.64</v>
      </c>
      <c r="L11" s="717">
        <v>0</v>
      </c>
    </row>
    <row r="12" spans="1:12">
      <c r="A12" s="496">
        <v>6</v>
      </c>
      <c r="B12" s="512" t="s">
        <v>526</v>
      </c>
      <c r="C12" s="720">
        <f t="shared" si="1"/>
        <v>11698266.280000001</v>
      </c>
      <c r="D12" s="693">
        <v>11199327.17</v>
      </c>
      <c r="E12" s="693">
        <v>421427.55</v>
      </c>
      <c r="F12" s="717">
        <v>77511.56</v>
      </c>
      <c r="G12" s="717">
        <v>0</v>
      </c>
      <c r="H12" s="720">
        <f t="shared" si="0"/>
        <v>187917.66</v>
      </c>
      <c r="I12" s="717">
        <v>64963.28</v>
      </c>
      <c r="J12" s="717">
        <v>58982.45</v>
      </c>
      <c r="K12" s="717">
        <v>63971.93</v>
      </c>
      <c r="L12" s="717">
        <v>0</v>
      </c>
    </row>
    <row r="13" spans="1:12">
      <c r="A13" s="496">
        <v>7</v>
      </c>
      <c r="B13" s="512" t="s">
        <v>527</v>
      </c>
      <c r="C13" s="720">
        <f t="shared" si="1"/>
        <v>3732664.89</v>
      </c>
      <c r="D13" s="693">
        <v>3414910.68</v>
      </c>
      <c r="E13" s="693">
        <v>301308.32</v>
      </c>
      <c r="F13" s="717">
        <v>16445.89</v>
      </c>
      <c r="G13" s="717">
        <v>0</v>
      </c>
      <c r="H13" s="720">
        <f t="shared" si="0"/>
        <v>110294.2</v>
      </c>
      <c r="I13" s="717">
        <v>30892.11</v>
      </c>
      <c r="J13" s="717">
        <v>65859.34</v>
      </c>
      <c r="K13" s="717">
        <v>13542.75</v>
      </c>
      <c r="L13" s="717">
        <v>0</v>
      </c>
    </row>
    <row r="14" spans="1:12">
      <c r="A14" s="496">
        <v>8</v>
      </c>
      <c r="B14" s="512" t="s">
        <v>528</v>
      </c>
      <c r="C14" s="720">
        <f t="shared" si="1"/>
        <v>151061325.55000001</v>
      </c>
      <c r="D14" s="693">
        <v>144007228.96000001</v>
      </c>
      <c r="E14" s="693">
        <v>5387311.6699999999</v>
      </c>
      <c r="F14" s="717">
        <v>1642833.08</v>
      </c>
      <c r="G14" s="717">
        <v>23951.84</v>
      </c>
      <c r="H14" s="720">
        <f t="shared" si="0"/>
        <v>3275341.63</v>
      </c>
      <c r="I14" s="717">
        <v>1152419.99</v>
      </c>
      <c r="J14" s="717">
        <v>867721.52</v>
      </c>
      <c r="K14" s="717">
        <v>1254934.68</v>
      </c>
      <c r="L14" s="717">
        <v>265.44</v>
      </c>
    </row>
    <row r="15" spans="1:12">
      <c r="A15" s="496">
        <v>9</v>
      </c>
      <c r="B15" s="512" t="s">
        <v>529</v>
      </c>
      <c r="C15" s="720">
        <f t="shared" si="1"/>
        <v>29141071.649999999</v>
      </c>
      <c r="D15" s="693">
        <v>27877139.829999998</v>
      </c>
      <c r="E15" s="693">
        <v>992880.28</v>
      </c>
      <c r="F15" s="717">
        <v>271051.53999999998</v>
      </c>
      <c r="G15" s="717">
        <v>0</v>
      </c>
      <c r="H15" s="720">
        <f t="shared" si="0"/>
        <v>638404.92999999993</v>
      </c>
      <c r="I15" s="717">
        <v>236748.76</v>
      </c>
      <c r="J15" s="717">
        <v>176625.23</v>
      </c>
      <c r="K15" s="717">
        <v>225030.94</v>
      </c>
      <c r="L15" s="717">
        <v>0</v>
      </c>
    </row>
    <row r="16" spans="1:12">
      <c r="A16" s="496">
        <v>10</v>
      </c>
      <c r="B16" s="512" t="s">
        <v>530</v>
      </c>
      <c r="C16" s="720">
        <f t="shared" si="1"/>
        <v>14724557.07</v>
      </c>
      <c r="D16" s="693">
        <v>13953787.130000001</v>
      </c>
      <c r="E16" s="693">
        <v>664951.76</v>
      </c>
      <c r="F16" s="717">
        <v>105818.18</v>
      </c>
      <c r="G16" s="717">
        <v>0</v>
      </c>
      <c r="H16" s="720">
        <f t="shared" si="0"/>
        <v>256830.75</v>
      </c>
      <c r="I16" s="717">
        <v>92028.84</v>
      </c>
      <c r="J16" s="717">
        <v>76232.55</v>
      </c>
      <c r="K16" s="717">
        <v>88569.36</v>
      </c>
      <c r="L16" s="717">
        <v>0</v>
      </c>
    </row>
    <row r="17" spans="1:12">
      <c r="A17" s="496">
        <v>11</v>
      </c>
      <c r="B17" s="512" t="s">
        <v>531</v>
      </c>
      <c r="C17" s="720">
        <f t="shared" si="1"/>
        <v>6744243.9499999993</v>
      </c>
      <c r="D17" s="693">
        <v>6367168.5999999996</v>
      </c>
      <c r="E17" s="693">
        <v>277573.81</v>
      </c>
      <c r="F17" s="717">
        <v>84426.47</v>
      </c>
      <c r="G17" s="717">
        <v>15075.07</v>
      </c>
      <c r="H17" s="720">
        <f t="shared" si="0"/>
        <v>184285.93</v>
      </c>
      <c r="I17" s="717">
        <v>70554.570000000007</v>
      </c>
      <c r="J17" s="717">
        <v>44295.34</v>
      </c>
      <c r="K17" s="717">
        <v>69268.95</v>
      </c>
      <c r="L17" s="717">
        <v>167.07</v>
      </c>
    </row>
    <row r="18" spans="1:12">
      <c r="A18" s="496">
        <v>12</v>
      </c>
      <c r="B18" s="512" t="s">
        <v>532</v>
      </c>
      <c r="C18" s="720">
        <f t="shared" si="1"/>
        <v>115906823.98</v>
      </c>
      <c r="D18" s="693">
        <v>110774546.40000001</v>
      </c>
      <c r="E18" s="693">
        <v>4455849.58</v>
      </c>
      <c r="F18" s="717">
        <v>657711.55000000005</v>
      </c>
      <c r="G18" s="717">
        <v>18716.45</v>
      </c>
      <c r="H18" s="720">
        <f t="shared" si="0"/>
        <v>1851439.67</v>
      </c>
      <c r="I18" s="717">
        <v>807678.29</v>
      </c>
      <c r="J18" s="717">
        <v>513712.04</v>
      </c>
      <c r="K18" s="717">
        <v>525058.38</v>
      </c>
      <c r="L18" s="717">
        <v>4990.96</v>
      </c>
    </row>
    <row r="19" spans="1:12">
      <c r="A19" s="496">
        <v>13</v>
      </c>
      <c r="B19" s="512" t="s">
        <v>533</v>
      </c>
      <c r="C19" s="720">
        <f t="shared" si="1"/>
        <v>16674892.990000002</v>
      </c>
      <c r="D19" s="693">
        <v>16000970.630000001</v>
      </c>
      <c r="E19" s="693">
        <v>567653.14</v>
      </c>
      <c r="F19" s="717">
        <v>106269.22</v>
      </c>
      <c r="G19" s="717">
        <v>0</v>
      </c>
      <c r="H19" s="720">
        <f t="shared" si="0"/>
        <v>340519.57</v>
      </c>
      <c r="I19" s="717">
        <v>133186.45000000001</v>
      </c>
      <c r="J19" s="717">
        <v>118275.49</v>
      </c>
      <c r="K19" s="717">
        <v>89057.63</v>
      </c>
      <c r="L19" s="717">
        <v>0</v>
      </c>
    </row>
    <row r="20" spans="1:12">
      <c r="A20" s="496">
        <v>14</v>
      </c>
      <c r="B20" s="512" t="s">
        <v>534</v>
      </c>
      <c r="C20" s="720">
        <f t="shared" si="1"/>
        <v>53608188.979999997</v>
      </c>
      <c r="D20" s="693">
        <v>48834861.799999997</v>
      </c>
      <c r="E20" s="693">
        <v>4693911.95</v>
      </c>
      <c r="F20" s="717">
        <v>79415.23</v>
      </c>
      <c r="G20" s="717">
        <v>0</v>
      </c>
      <c r="H20" s="720">
        <f t="shared" si="0"/>
        <v>692055.03</v>
      </c>
      <c r="I20" s="717">
        <v>223025.74</v>
      </c>
      <c r="J20" s="717">
        <v>404358.25</v>
      </c>
      <c r="K20" s="717">
        <v>64671.040000000001</v>
      </c>
      <c r="L20" s="717">
        <v>0</v>
      </c>
    </row>
    <row r="21" spans="1:12">
      <c r="A21" s="496">
        <v>15</v>
      </c>
      <c r="B21" s="512" t="s">
        <v>535</v>
      </c>
      <c r="C21" s="720">
        <f t="shared" si="1"/>
        <v>35802353.299999997</v>
      </c>
      <c r="D21" s="693">
        <v>31508401.449999999</v>
      </c>
      <c r="E21" s="693">
        <v>3987459.33</v>
      </c>
      <c r="F21" s="717">
        <v>287883.98</v>
      </c>
      <c r="G21" s="717">
        <v>18608.54</v>
      </c>
      <c r="H21" s="720">
        <f t="shared" si="0"/>
        <v>967015.96000000008</v>
      </c>
      <c r="I21" s="717">
        <v>318288.45</v>
      </c>
      <c r="J21" s="717">
        <v>407985.46</v>
      </c>
      <c r="K21" s="717">
        <v>238261.24</v>
      </c>
      <c r="L21" s="717">
        <v>2480.81</v>
      </c>
    </row>
    <row r="22" spans="1:12">
      <c r="A22" s="496">
        <v>16</v>
      </c>
      <c r="B22" s="512" t="s">
        <v>536</v>
      </c>
      <c r="C22" s="720">
        <f t="shared" si="1"/>
        <v>11713401.050000001</v>
      </c>
      <c r="D22" s="693">
        <v>11222400.970000001</v>
      </c>
      <c r="E22" s="693">
        <v>421954.18</v>
      </c>
      <c r="F22" s="717">
        <v>69045.899999999994</v>
      </c>
      <c r="G22" s="717">
        <v>0</v>
      </c>
      <c r="H22" s="720">
        <f t="shared" si="0"/>
        <v>204091.33000000002</v>
      </c>
      <c r="I22" s="717">
        <v>81194.02</v>
      </c>
      <c r="J22" s="717">
        <v>65515.94</v>
      </c>
      <c r="K22" s="717">
        <v>57381.37</v>
      </c>
      <c r="L22" s="717">
        <v>0</v>
      </c>
    </row>
    <row r="23" spans="1:12">
      <c r="A23" s="496">
        <v>17</v>
      </c>
      <c r="B23" s="512" t="s">
        <v>537</v>
      </c>
      <c r="C23" s="720">
        <f t="shared" si="1"/>
        <v>814498.8</v>
      </c>
      <c r="D23" s="693">
        <v>774265.92</v>
      </c>
      <c r="E23" s="693">
        <v>38075.75</v>
      </c>
      <c r="F23" s="717">
        <v>2157.13</v>
      </c>
      <c r="G23" s="717">
        <v>0</v>
      </c>
      <c r="H23" s="720">
        <f t="shared" si="0"/>
        <v>14363.83</v>
      </c>
      <c r="I23" s="717">
        <v>7354.16</v>
      </c>
      <c r="J23" s="717">
        <v>5233.33</v>
      </c>
      <c r="K23" s="717">
        <v>1776.34</v>
      </c>
      <c r="L23" s="717">
        <v>0</v>
      </c>
    </row>
    <row r="24" spans="1:12">
      <c r="A24" s="496">
        <v>18</v>
      </c>
      <c r="B24" s="512" t="s">
        <v>538</v>
      </c>
      <c r="C24" s="720">
        <f t="shared" si="1"/>
        <v>3289469.5400000005</v>
      </c>
      <c r="D24" s="693">
        <v>3140988.33</v>
      </c>
      <c r="E24" s="693">
        <v>142718.72</v>
      </c>
      <c r="F24" s="717">
        <v>5762.49</v>
      </c>
      <c r="G24" s="717">
        <v>0</v>
      </c>
      <c r="H24" s="720">
        <f t="shared" si="0"/>
        <v>55844.210000000006</v>
      </c>
      <c r="I24" s="717">
        <v>30832.46</v>
      </c>
      <c r="J24" s="717">
        <v>20256.48</v>
      </c>
      <c r="K24" s="717">
        <v>4755.2700000000004</v>
      </c>
      <c r="L24" s="717">
        <v>0</v>
      </c>
    </row>
    <row r="25" spans="1:12">
      <c r="A25" s="496">
        <v>19</v>
      </c>
      <c r="B25" s="512" t="s">
        <v>539</v>
      </c>
      <c r="C25" s="720">
        <f t="shared" si="1"/>
        <v>6046612.0800000001</v>
      </c>
      <c r="D25" s="693">
        <v>5882245.4100000001</v>
      </c>
      <c r="E25" s="693">
        <v>131168.60999999999</v>
      </c>
      <c r="F25" s="717">
        <v>33198.06</v>
      </c>
      <c r="G25" s="717">
        <v>0</v>
      </c>
      <c r="H25" s="720">
        <f t="shared" si="0"/>
        <v>88264.450000000012</v>
      </c>
      <c r="I25" s="717">
        <v>40924.9</v>
      </c>
      <c r="J25" s="717">
        <v>19479.47</v>
      </c>
      <c r="K25" s="717">
        <v>27860.080000000002</v>
      </c>
      <c r="L25" s="717">
        <v>0</v>
      </c>
    </row>
    <row r="26" spans="1:12">
      <c r="A26" s="496">
        <v>20</v>
      </c>
      <c r="B26" s="512" t="s">
        <v>540</v>
      </c>
      <c r="C26" s="720">
        <f t="shared" si="1"/>
        <v>15289376.439999999</v>
      </c>
      <c r="D26" s="693">
        <v>14944546.710000001</v>
      </c>
      <c r="E26" s="693">
        <v>302721.28999999998</v>
      </c>
      <c r="F26" s="717">
        <v>42108.44</v>
      </c>
      <c r="G26" s="717">
        <v>0</v>
      </c>
      <c r="H26" s="720">
        <f t="shared" si="0"/>
        <v>193841.43</v>
      </c>
      <c r="I26" s="717">
        <v>115998.71</v>
      </c>
      <c r="J26" s="717">
        <v>42842.92</v>
      </c>
      <c r="K26" s="717">
        <v>34999.800000000003</v>
      </c>
      <c r="L26" s="717">
        <v>0</v>
      </c>
    </row>
    <row r="27" spans="1:12">
      <c r="A27" s="496">
        <v>21</v>
      </c>
      <c r="B27" s="512" t="s">
        <v>541</v>
      </c>
      <c r="C27" s="720">
        <f t="shared" si="1"/>
        <v>2028143.7600000002</v>
      </c>
      <c r="D27" s="693">
        <v>2010969.57</v>
      </c>
      <c r="E27" s="693">
        <v>16513.82</v>
      </c>
      <c r="F27" s="717">
        <v>660.37</v>
      </c>
      <c r="G27" s="717">
        <v>0</v>
      </c>
      <c r="H27" s="720">
        <f t="shared" si="0"/>
        <v>20033.2</v>
      </c>
      <c r="I27" s="717">
        <v>16405.41</v>
      </c>
      <c r="J27" s="717">
        <v>3083.99</v>
      </c>
      <c r="K27" s="717">
        <v>543.79999999999995</v>
      </c>
      <c r="L27" s="717">
        <v>0</v>
      </c>
    </row>
    <row r="28" spans="1:12">
      <c r="A28" s="496">
        <v>22</v>
      </c>
      <c r="B28" s="512" t="s">
        <v>542</v>
      </c>
      <c r="C28" s="720">
        <f t="shared" si="1"/>
        <v>717885.84</v>
      </c>
      <c r="D28" s="693">
        <v>694037.57</v>
      </c>
      <c r="E28" s="693">
        <v>23848.27</v>
      </c>
      <c r="F28" s="717">
        <v>0</v>
      </c>
      <c r="G28" s="717">
        <v>0</v>
      </c>
      <c r="H28" s="720">
        <f t="shared" si="0"/>
        <v>12420.32</v>
      </c>
      <c r="I28" s="717">
        <v>6515.29</v>
      </c>
      <c r="J28" s="717">
        <v>5905.03</v>
      </c>
      <c r="K28" s="717">
        <v>0</v>
      </c>
      <c r="L28" s="717">
        <v>0</v>
      </c>
    </row>
    <row r="29" spans="1:12">
      <c r="A29" s="496">
        <v>23</v>
      </c>
      <c r="B29" s="512" t="s">
        <v>543</v>
      </c>
      <c r="C29" s="720">
        <f t="shared" si="1"/>
        <v>486785278.91999996</v>
      </c>
      <c r="D29" s="693">
        <v>463118562.75</v>
      </c>
      <c r="E29" s="693">
        <v>19824595.77</v>
      </c>
      <c r="F29" s="717">
        <v>3819821.84</v>
      </c>
      <c r="G29" s="717">
        <v>22298.560000000001</v>
      </c>
      <c r="H29" s="720">
        <f t="shared" si="0"/>
        <v>10976506.380000001</v>
      </c>
      <c r="I29" s="717">
        <v>4197774.04</v>
      </c>
      <c r="J29" s="717">
        <v>3652613.42</v>
      </c>
      <c r="K29" s="717">
        <v>3125942.41</v>
      </c>
      <c r="L29" s="717">
        <v>176.51</v>
      </c>
    </row>
    <row r="30" spans="1:12">
      <c r="A30" s="496">
        <v>24</v>
      </c>
      <c r="B30" s="512" t="s">
        <v>544</v>
      </c>
      <c r="C30" s="720">
        <f t="shared" si="1"/>
        <v>797002695.97000003</v>
      </c>
      <c r="D30" s="693">
        <v>756126799.44000006</v>
      </c>
      <c r="E30" s="693">
        <v>33113241.559999999</v>
      </c>
      <c r="F30" s="717">
        <v>7720558.0999999996</v>
      </c>
      <c r="G30" s="717">
        <v>42096.87</v>
      </c>
      <c r="H30" s="720">
        <f t="shared" si="0"/>
        <v>18338946.849999998</v>
      </c>
      <c r="I30" s="717">
        <v>6444852.8399999999</v>
      </c>
      <c r="J30" s="717">
        <v>5676067.6699999999</v>
      </c>
      <c r="K30" s="717">
        <v>6210895.75</v>
      </c>
      <c r="L30" s="717">
        <v>7130.59</v>
      </c>
    </row>
    <row r="31" spans="1:12">
      <c r="A31" s="496">
        <v>25</v>
      </c>
      <c r="B31" s="512" t="s">
        <v>545</v>
      </c>
      <c r="C31" s="720">
        <f t="shared" si="1"/>
        <v>178558118.99999997</v>
      </c>
      <c r="D31" s="693">
        <v>172354094.66</v>
      </c>
      <c r="E31" s="693">
        <v>5028820.82</v>
      </c>
      <c r="F31" s="717">
        <v>1160261.1399999999</v>
      </c>
      <c r="G31" s="717">
        <v>14942.38</v>
      </c>
      <c r="H31" s="720">
        <f t="shared" si="0"/>
        <v>3426712.29</v>
      </c>
      <c r="I31" s="717">
        <v>1427704.04</v>
      </c>
      <c r="J31" s="717">
        <v>1045044.5</v>
      </c>
      <c r="K31" s="717">
        <v>953798.15</v>
      </c>
      <c r="L31" s="717">
        <v>165.6</v>
      </c>
    </row>
    <row r="32" spans="1:12">
      <c r="A32" s="496">
        <v>26</v>
      </c>
      <c r="B32" s="512" t="s">
        <v>601</v>
      </c>
      <c r="C32" s="720">
        <f t="shared" si="1"/>
        <v>58597709.759999998</v>
      </c>
      <c r="D32" s="693">
        <v>55905394.579999998</v>
      </c>
      <c r="E32" s="693">
        <v>2285188.36</v>
      </c>
      <c r="F32" s="717">
        <v>407126.82</v>
      </c>
      <c r="G32" s="717">
        <v>0</v>
      </c>
      <c r="H32" s="720">
        <f t="shared" si="0"/>
        <v>1294483.75</v>
      </c>
      <c r="I32" s="717">
        <v>596908.04</v>
      </c>
      <c r="J32" s="717">
        <v>358982.35</v>
      </c>
      <c r="K32" s="717">
        <v>338593.36</v>
      </c>
      <c r="L32" s="717">
        <v>0</v>
      </c>
    </row>
    <row r="33" spans="1:12">
      <c r="A33" s="496">
        <v>27</v>
      </c>
      <c r="B33" s="557" t="s">
        <v>68</v>
      </c>
      <c r="C33" s="720">
        <f t="shared" si="1"/>
        <v>2086200798.1100001</v>
      </c>
      <c r="D33" s="718">
        <f>SUM(D7:D32)</f>
        <v>1984790761.51</v>
      </c>
      <c r="E33" s="718">
        <f t="shared" ref="E33:G33" si="2">SUM(E7:E32)</f>
        <v>84465999.510000005</v>
      </c>
      <c r="F33" s="718">
        <f t="shared" si="2"/>
        <v>16788347.379999999</v>
      </c>
      <c r="G33" s="718">
        <f t="shared" si="2"/>
        <v>155689.71</v>
      </c>
      <c r="H33" s="720">
        <f t="shared" si="0"/>
        <v>44215020.879999988</v>
      </c>
      <c r="I33" s="719">
        <f>SUM(I7:I32)</f>
        <v>16749526.579999998</v>
      </c>
      <c r="J33" s="719">
        <f t="shared" ref="J33:L33" si="3">SUM(J7:J32)</f>
        <v>13897158.689999999</v>
      </c>
      <c r="K33" s="719">
        <f t="shared" si="3"/>
        <v>13552958.629999999</v>
      </c>
      <c r="L33" s="719">
        <f t="shared" si="3"/>
        <v>15376.980000000001</v>
      </c>
    </row>
    <row r="35" spans="1:12">
      <c r="B35" s="556"/>
      <c r="C35" s="556"/>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ignoredErrors>
    <ignoredError sqref="H33"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4"/>
  <sheetViews>
    <sheetView showGridLines="0" zoomScale="80" zoomScaleNormal="80" workbookViewId="0">
      <selection activeCell="G17" sqref="G17"/>
    </sheetView>
  </sheetViews>
  <sheetFormatPr defaultColWidth="8.77734375" defaultRowHeight="12"/>
  <cols>
    <col min="1" max="1" width="11.77734375" style="387" bestFit="1" customWidth="1"/>
    <col min="2" max="2" width="61.77734375" style="387" customWidth="1"/>
    <col min="3" max="11" width="20.33203125" style="387" customWidth="1"/>
    <col min="12" max="16384" width="8.77734375" style="387"/>
  </cols>
  <sheetData>
    <row r="1" spans="1:11" s="380" customFormat="1" ht="13.8">
      <c r="A1" s="379" t="s">
        <v>111</v>
      </c>
      <c r="B1" s="307" t="str">
        <f>Info!C2</f>
        <v>სს "კრედო ბანკი"</v>
      </c>
      <c r="C1" s="509"/>
      <c r="D1" s="509"/>
      <c r="E1" s="509"/>
      <c r="F1" s="509"/>
      <c r="G1" s="509"/>
      <c r="H1" s="509"/>
      <c r="I1" s="509"/>
      <c r="J1" s="509"/>
      <c r="K1" s="509"/>
    </row>
    <row r="2" spans="1:11" s="380" customFormat="1">
      <c r="A2" s="379" t="s">
        <v>112</v>
      </c>
      <c r="B2" s="382">
        <f>'1. key ratios'!B2</f>
        <v>45382</v>
      </c>
      <c r="C2" s="509"/>
      <c r="D2" s="509"/>
      <c r="E2" s="509"/>
      <c r="F2" s="509"/>
      <c r="G2" s="509"/>
      <c r="H2" s="509"/>
      <c r="I2" s="509"/>
      <c r="J2" s="509"/>
      <c r="K2" s="509"/>
    </row>
    <row r="3" spans="1:11" s="380" customFormat="1">
      <c r="A3" s="381" t="s">
        <v>602</v>
      </c>
      <c r="B3" s="509"/>
      <c r="C3" s="509"/>
      <c r="D3" s="509"/>
      <c r="E3" s="509"/>
      <c r="F3" s="509"/>
      <c r="G3" s="509"/>
      <c r="H3" s="509"/>
      <c r="I3" s="509"/>
      <c r="J3" s="509"/>
      <c r="K3" s="509"/>
    </row>
    <row r="4" spans="1:11">
      <c r="A4" s="561"/>
      <c r="B4" s="561"/>
      <c r="C4" s="560" t="s">
        <v>506</v>
      </c>
      <c r="D4" s="560" t="s">
        <v>507</v>
      </c>
      <c r="E4" s="560" t="s">
        <v>508</v>
      </c>
      <c r="F4" s="560" t="s">
        <v>509</v>
      </c>
      <c r="G4" s="560" t="s">
        <v>510</v>
      </c>
      <c r="H4" s="560" t="s">
        <v>511</v>
      </c>
      <c r="I4" s="560" t="s">
        <v>512</v>
      </c>
      <c r="J4" s="560" t="s">
        <v>513</v>
      </c>
      <c r="K4" s="560" t="s">
        <v>514</v>
      </c>
    </row>
    <row r="5" spans="1:11" ht="103.95" customHeight="1">
      <c r="A5" s="873" t="s">
        <v>914</v>
      </c>
      <c r="B5" s="874"/>
      <c r="C5" s="559" t="s">
        <v>603</v>
      </c>
      <c r="D5" s="559" t="s">
        <v>596</v>
      </c>
      <c r="E5" s="559" t="s">
        <v>597</v>
      </c>
      <c r="F5" s="559" t="s">
        <v>913</v>
      </c>
      <c r="G5" s="559" t="s">
        <v>604</v>
      </c>
      <c r="H5" s="559" t="s">
        <v>605</v>
      </c>
      <c r="I5" s="559" t="s">
        <v>606</v>
      </c>
      <c r="J5" s="559" t="s">
        <v>607</v>
      </c>
      <c r="K5" s="559" t="s">
        <v>608</v>
      </c>
    </row>
    <row r="6" spans="1:11">
      <c r="A6" s="496">
        <v>1</v>
      </c>
      <c r="B6" s="496" t="s">
        <v>609</v>
      </c>
      <c r="C6" s="693">
        <v>5777767.278184996</v>
      </c>
      <c r="D6" s="693">
        <v>83962.200000000012</v>
      </c>
      <c r="E6" s="693"/>
      <c r="F6" s="693"/>
      <c r="G6" s="693">
        <v>593540483.22115111</v>
      </c>
      <c r="H6" s="693"/>
      <c r="I6" s="693">
        <v>94477620.957146272</v>
      </c>
      <c r="J6" s="693">
        <v>272673253.49667454</v>
      </c>
      <c r="K6" s="693">
        <v>1119647710.8468432</v>
      </c>
    </row>
    <row r="7" spans="1:11">
      <c r="A7" s="496">
        <v>2</v>
      </c>
      <c r="B7" s="496" t="s">
        <v>610</v>
      </c>
      <c r="C7" s="693"/>
      <c r="D7" s="693"/>
      <c r="E7" s="693"/>
      <c r="F7" s="693"/>
      <c r="G7" s="693"/>
      <c r="H7" s="693"/>
      <c r="I7" s="693"/>
      <c r="J7" s="693"/>
      <c r="K7" s="693"/>
    </row>
    <row r="8" spans="1:11">
      <c r="A8" s="496">
        <v>3</v>
      </c>
      <c r="B8" s="496" t="s">
        <v>574</v>
      </c>
      <c r="C8" s="693">
        <v>1347650</v>
      </c>
      <c r="D8" s="693"/>
      <c r="E8" s="693"/>
      <c r="F8" s="693"/>
      <c r="G8" s="693">
        <v>184758</v>
      </c>
      <c r="H8" s="693"/>
      <c r="I8" s="693"/>
      <c r="J8" s="693"/>
      <c r="K8" s="693">
        <v>64297587.260000005</v>
      </c>
    </row>
    <row r="9" spans="1:11">
      <c r="A9" s="496">
        <v>4</v>
      </c>
      <c r="B9" s="518" t="s">
        <v>912</v>
      </c>
      <c r="C9" s="738"/>
      <c r="D9" s="738"/>
      <c r="E9" s="738"/>
      <c r="F9" s="738"/>
      <c r="G9" s="738">
        <v>1227270.1628354297</v>
      </c>
      <c r="H9" s="738"/>
      <c r="I9" s="738">
        <v>807644.24644990999</v>
      </c>
      <c r="J9" s="738">
        <v>2199499.7443508194</v>
      </c>
      <c r="K9" s="738">
        <v>12709622.924238926</v>
      </c>
    </row>
    <row r="10" spans="1:11">
      <c r="A10" s="496">
        <v>5</v>
      </c>
      <c r="B10" s="518" t="s">
        <v>911</v>
      </c>
      <c r="C10" s="738"/>
      <c r="D10" s="738"/>
      <c r="E10" s="738"/>
      <c r="F10" s="738"/>
      <c r="G10" s="738"/>
      <c r="H10" s="738"/>
      <c r="I10" s="738"/>
      <c r="J10" s="738"/>
      <c r="K10" s="738"/>
    </row>
    <row r="11" spans="1:11">
      <c r="A11" s="496">
        <v>6</v>
      </c>
      <c r="B11" s="518" t="s">
        <v>910</v>
      </c>
      <c r="C11" s="738"/>
      <c r="D11" s="738"/>
      <c r="E11" s="738"/>
      <c r="F11" s="738"/>
      <c r="G11" s="738"/>
      <c r="H11" s="738"/>
      <c r="I11" s="738"/>
      <c r="J11" s="738"/>
      <c r="K11" s="738"/>
    </row>
    <row r="13" spans="1:11" ht="13.8">
      <c r="B13" s="558"/>
    </row>
    <row r="14" spans="1:11">
      <c r="G14" s="739"/>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9"/>
  <sheetViews>
    <sheetView showGridLines="0" topLeftCell="A3" zoomScale="80" zoomScaleNormal="80" workbookViewId="0">
      <selection activeCell="S13" sqref="S13"/>
    </sheetView>
  </sheetViews>
  <sheetFormatPr defaultColWidth="8.77734375" defaultRowHeight="14.4"/>
  <cols>
    <col min="1" max="1" width="10" style="562" bestFit="1" customWidth="1"/>
    <col min="2" max="2" width="53" style="562" customWidth="1"/>
    <col min="3" max="3" width="11.6640625" style="562" customWidth="1"/>
    <col min="4" max="4" width="16.33203125" style="562" customWidth="1"/>
    <col min="5" max="5" width="15.21875" style="562" customWidth="1"/>
    <col min="6" max="6" width="20" style="562" customWidth="1"/>
    <col min="7" max="7" width="37.6640625" style="562" customWidth="1"/>
    <col min="8" max="8" width="11.6640625" style="562" customWidth="1"/>
    <col min="9" max="10" width="15.21875" style="562" customWidth="1"/>
    <col min="11" max="11" width="20" style="562" customWidth="1"/>
    <col min="12" max="12" width="37.6640625" style="562" customWidth="1"/>
    <col min="13" max="13" width="10.6640625" style="562" bestFit="1" customWidth="1"/>
    <col min="14" max="15" width="15.21875" style="562" bestFit="1" customWidth="1"/>
    <col min="16" max="16" width="20" style="562" bestFit="1" customWidth="1"/>
    <col min="17" max="17" width="37.6640625" style="562" bestFit="1" customWidth="1"/>
    <col min="18" max="18" width="18" style="562" customWidth="1"/>
    <col min="19" max="22" width="17.77734375" style="562" customWidth="1"/>
    <col min="23" max="16384" width="8.77734375" style="562"/>
  </cols>
  <sheetData>
    <row r="1" spans="1:22">
      <c r="A1" s="379" t="s">
        <v>111</v>
      </c>
      <c r="B1" s="307" t="str">
        <f>Info!C2</f>
        <v>სს "კრედო ბანკი"</v>
      </c>
    </row>
    <row r="2" spans="1:22">
      <c r="A2" s="379" t="s">
        <v>112</v>
      </c>
      <c r="B2" s="382">
        <f>'1. key ratios'!B2</f>
        <v>45382</v>
      </c>
    </row>
    <row r="3" spans="1:22">
      <c r="A3" s="381" t="s">
        <v>694</v>
      </c>
      <c r="B3" s="509"/>
    </row>
    <row r="4" spans="1:22">
      <c r="A4" s="381"/>
      <c r="B4" s="509"/>
    </row>
    <row r="5" spans="1:22" ht="24" customHeight="1">
      <c r="A5" s="875" t="s">
        <v>722</v>
      </c>
      <c r="B5" s="875"/>
      <c r="C5" s="877" t="s">
        <v>916</v>
      </c>
      <c r="D5" s="877"/>
      <c r="E5" s="877"/>
      <c r="F5" s="877"/>
      <c r="G5" s="877"/>
      <c r="H5" s="877" t="s">
        <v>600</v>
      </c>
      <c r="I5" s="877"/>
      <c r="J5" s="877"/>
      <c r="K5" s="877"/>
      <c r="L5" s="877"/>
      <c r="M5" s="877" t="s">
        <v>915</v>
      </c>
      <c r="N5" s="877"/>
      <c r="O5" s="877"/>
      <c r="P5" s="877"/>
      <c r="Q5" s="877"/>
      <c r="R5" s="876" t="s">
        <v>720</v>
      </c>
      <c r="S5" s="876" t="s">
        <v>725</v>
      </c>
      <c r="T5" s="876" t="s">
        <v>724</v>
      </c>
      <c r="U5" s="876" t="s">
        <v>727</v>
      </c>
      <c r="V5" s="876" t="s">
        <v>721</v>
      </c>
    </row>
    <row r="6" spans="1:22" ht="36" customHeight="1">
      <c r="A6" s="875"/>
      <c r="B6" s="875"/>
      <c r="C6" s="571"/>
      <c r="D6" s="507" t="s">
        <v>899</v>
      </c>
      <c r="E6" s="507" t="s">
        <v>898</v>
      </c>
      <c r="F6" s="507" t="s">
        <v>897</v>
      </c>
      <c r="G6" s="507" t="s">
        <v>896</v>
      </c>
      <c r="H6" s="571"/>
      <c r="I6" s="507" t="s">
        <v>899</v>
      </c>
      <c r="J6" s="507" t="s">
        <v>898</v>
      </c>
      <c r="K6" s="507" t="s">
        <v>897</v>
      </c>
      <c r="L6" s="507" t="s">
        <v>896</v>
      </c>
      <c r="M6" s="571"/>
      <c r="N6" s="507" t="s">
        <v>899</v>
      </c>
      <c r="O6" s="507" t="s">
        <v>898</v>
      </c>
      <c r="P6" s="507" t="s">
        <v>897</v>
      </c>
      <c r="Q6" s="507" t="s">
        <v>896</v>
      </c>
      <c r="R6" s="876"/>
      <c r="S6" s="876"/>
      <c r="T6" s="876"/>
      <c r="U6" s="876"/>
      <c r="V6" s="876"/>
    </row>
    <row r="7" spans="1:22">
      <c r="A7" s="566">
        <v>1</v>
      </c>
      <c r="B7" s="570" t="s">
        <v>695</v>
      </c>
      <c r="C7" s="748">
        <f>SUM(D7:G7)</f>
        <v>24650532.129999999</v>
      </c>
      <c r="D7" s="738">
        <v>23897319.600000001</v>
      </c>
      <c r="E7" s="738">
        <v>451957.99</v>
      </c>
      <c r="F7" s="738">
        <v>275644.39</v>
      </c>
      <c r="G7" s="738">
        <v>25610.15</v>
      </c>
      <c r="H7" s="748">
        <f>SUM(I7:L7)</f>
        <v>24959344.91</v>
      </c>
      <c r="I7" s="738">
        <v>24131922.27</v>
      </c>
      <c r="J7" s="738">
        <v>489208.18</v>
      </c>
      <c r="K7" s="738">
        <v>312476.75</v>
      </c>
      <c r="L7" s="738">
        <v>25737.71</v>
      </c>
      <c r="M7" s="748">
        <f>SUM(N7:Q7)</f>
        <v>710674.32000000007</v>
      </c>
      <c r="N7" s="738">
        <v>280414.28000000003</v>
      </c>
      <c r="O7" s="738">
        <v>184947.92</v>
      </c>
      <c r="P7" s="738">
        <v>245097.5</v>
      </c>
      <c r="Q7" s="738">
        <v>214.62</v>
      </c>
      <c r="R7" s="738">
        <v>14141</v>
      </c>
      <c r="S7" s="753">
        <v>0.23272253450753741</v>
      </c>
      <c r="T7" s="753">
        <v>0.31000000000000005</v>
      </c>
      <c r="U7" s="753">
        <v>0.24</v>
      </c>
      <c r="V7" s="749">
        <v>37.622252000000003</v>
      </c>
    </row>
    <row r="8" spans="1:22">
      <c r="A8" s="566">
        <v>2</v>
      </c>
      <c r="B8" s="569" t="s">
        <v>696</v>
      </c>
      <c r="C8" s="748">
        <f t="shared" ref="C8:C18" si="0">SUM(D8:G8)</f>
        <v>918880634.64000022</v>
      </c>
      <c r="D8" s="738">
        <v>867297695.30000007</v>
      </c>
      <c r="E8" s="738">
        <v>44079700.210000001</v>
      </c>
      <c r="F8" s="738">
        <v>7451412.1900000004</v>
      </c>
      <c r="G8" s="738">
        <v>51826.94</v>
      </c>
      <c r="H8" s="748">
        <f t="shared" ref="H8:H18" si="1">SUM(I8:L8)</f>
        <v>917956422.5200001</v>
      </c>
      <c r="I8" s="738">
        <v>861972210.07000005</v>
      </c>
      <c r="J8" s="738">
        <v>47209508</v>
      </c>
      <c r="K8" s="738">
        <v>8721571.0099999998</v>
      </c>
      <c r="L8" s="738">
        <v>53133.440000000002</v>
      </c>
      <c r="M8" s="748">
        <f t="shared" ref="M8:M18" si="2">SUM(N8:Q8)</f>
        <v>23672666.32</v>
      </c>
      <c r="N8" s="738">
        <v>8540281.4199999999</v>
      </c>
      <c r="O8" s="738">
        <v>7896775.8399999999</v>
      </c>
      <c r="P8" s="738">
        <v>7223695.4900000002</v>
      </c>
      <c r="Q8" s="738">
        <v>11913.57</v>
      </c>
      <c r="R8" s="738">
        <v>175035</v>
      </c>
      <c r="S8" s="753">
        <v>0.24274029985235135</v>
      </c>
      <c r="T8" s="753">
        <v>0.33612677526242057</v>
      </c>
      <c r="U8" s="753">
        <v>0.23</v>
      </c>
      <c r="V8" s="749">
        <v>36.374077999999997</v>
      </c>
    </row>
    <row r="9" spans="1:22">
      <c r="A9" s="566">
        <v>3</v>
      </c>
      <c r="B9" s="569" t="s">
        <v>697</v>
      </c>
      <c r="C9" s="748">
        <f t="shared" si="0"/>
        <v>0</v>
      </c>
      <c r="D9" s="738">
        <v>0</v>
      </c>
      <c r="E9" s="738">
        <v>0</v>
      </c>
      <c r="F9" s="738">
        <v>0</v>
      </c>
      <c r="G9" s="738"/>
      <c r="H9" s="748">
        <f t="shared" si="1"/>
        <v>0</v>
      </c>
      <c r="I9" s="738">
        <v>0</v>
      </c>
      <c r="J9" s="738">
        <v>0</v>
      </c>
      <c r="K9" s="738">
        <v>0</v>
      </c>
      <c r="L9" s="738"/>
      <c r="M9" s="748">
        <f t="shared" si="2"/>
        <v>0</v>
      </c>
      <c r="N9" s="738">
        <v>0</v>
      </c>
      <c r="O9" s="738">
        <v>0</v>
      </c>
      <c r="P9" s="738">
        <v>0</v>
      </c>
      <c r="Q9" s="738"/>
      <c r="R9" s="738">
        <v>0</v>
      </c>
      <c r="S9" s="753"/>
      <c r="T9" s="753"/>
      <c r="U9" s="753"/>
      <c r="V9" s="749"/>
    </row>
    <row r="10" spans="1:22">
      <c r="A10" s="566">
        <v>4</v>
      </c>
      <c r="B10" s="569" t="s">
        <v>698</v>
      </c>
      <c r="C10" s="748">
        <f t="shared" si="0"/>
        <v>190601829.79999998</v>
      </c>
      <c r="D10" s="738">
        <v>185688569.81999999</v>
      </c>
      <c r="E10" s="738">
        <v>3436055.42</v>
      </c>
      <c r="F10" s="738">
        <v>1477204.56</v>
      </c>
      <c r="G10" s="738"/>
      <c r="H10" s="748">
        <f t="shared" si="1"/>
        <v>191496200.38</v>
      </c>
      <c r="I10" s="738">
        <v>185750060.5</v>
      </c>
      <c r="J10" s="738">
        <v>3754091.53</v>
      </c>
      <c r="K10" s="738">
        <v>1992048.35</v>
      </c>
      <c r="L10" s="738"/>
      <c r="M10" s="748">
        <f t="shared" si="2"/>
        <v>5163413.8600000003</v>
      </c>
      <c r="N10" s="738">
        <v>2533701.41</v>
      </c>
      <c r="O10" s="738">
        <v>989312.93</v>
      </c>
      <c r="P10" s="738">
        <v>1640399.52</v>
      </c>
      <c r="Q10" s="738"/>
      <c r="R10" s="738">
        <v>240861</v>
      </c>
      <c r="S10" s="753">
        <v>0.1</v>
      </c>
      <c r="T10" s="753">
        <v>0.25</v>
      </c>
      <c r="U10" s="753">
        <v>0.08</v>
      </c>
      <c r="V10" s="749">
        <v>11.835333</v>
      </c>
    </row>
    <row r="11" spans="1:22">
      <c r="A11" s="566">
        <v>5</v>
      </c>
      <c r="B11" s="569" t="s">
        <v>699</v>
      </c>
      <c r="C11" s="748">
        <f t="shared" si="0"/>
        <v>511828.10000000003</v>
      </c>
      <c r="D11" s="738">
        <v>511828.10000000003</v>
      </c>
      <c r="E11" s="738">
        <v>0</v>
      </c>
      <c r="F11" s="738">
        <v>0</v>
      </c>
      <c r="G11" s="738"/>
      <c r="H11" s="748">
        <f t="shared" si="1"/>
        <v>514807.36</v>
      </c>
      <c r="I11" s="738">
        <v>514807.36</v>
      </c>
      <c r="J11" s="738">
        <v>0</v>
      </c>
      <c r="K11" s="738">
        <v>0</v>
      </c>
      <c r="L11" s="738"/>
      <c r="M11" s="748">
        <f t="shared" si="2"/>
        <v>5196.3600000000006</v>
      </c>
      <c r="N11" s="738">
        <v>5196.3600000000006</v>
      </c>
      <c r="O11" s="738">
        <v>0</v>
      </c>
      <c r="P11" s="738">
        <v>0</v>
      </c>
      <c r="Q11" s="738"/>
      <c r="R11" s="738">
        <v>13</v>
      </c>
      <c r="S11" s="753">
        <v>0.43241561407103973</v>
      </c>
      <c r="T11" s="753">
        <v>0.55241561407103978</v>
      </c>
      <c r="U11" s="753">
        <v>0.12</v>
      </c>
      <c r="V11" s="749">
        <v>11.550863</v>
      </c>
    </row>
    <row r="12" spans="1:22">
      <c r="A12" s="566">
        <v>6</v>
      </c>
      <c r="B12" s="569" t="s">
        <v>700</v>
      </c>
      <c r="C12" s="748">
        <f t="shared" si="0"/>
        <v>33383441.260000002</v>
      </c>
      <c r="D12" s="738">
        <v>31857302.73</v>
      </c>
      <c r="E12" s="738">
        <v>892116.96</v>
      </c>
      <c r="F12" s="738">
        <v>634021.56999999995</v>
      </c>
      <c r="G12" s="738"/>
      <c r="H12" s="748">
        <f t="shared" si="1"/>
        <v>33383328.129999999</v>
      </c>
      <c r="I12" s="738">
        <v>31857123.93</v>
      </c>
      <c r="J12" s="738">
        <v>892182.63</v>
      </c>
      <c r="K12" s="738">
        <v>634021.56999999995</v>
      </c>
      <c r="L12" s="738"/>
      <c r="M12" s="748">
        <f t="shared" si="2"/>
        <v>1347131.04</v>
      </c>
      <c r="N12" s="738">
        <v>450921.24</v>
      </c>
      <c r="O12" s="738">
        <v>374109.68</v>
      </c>
      <c r="P12" s="738">
        <v>522100.12</v>
      </c>
      <c r="Q12" s="738"/>
      <c r="R12" s="738">
        <v>98156</v>
      </c>
      <c r="S12" s="753">
        <v>0.32000000000000006</v>
      </c>
      <c r="T12" s="753">
        <v>0.39000000000000007</v>
      </c>
      <c r="U12" s="753">
        <v>0.32</v>
      </c>
      <c r="V12" s="749">
        <v>326.12565000000001</v>
      </c>
    </row>
    <row r="13" spans="1:22">
      <c r="A13" s="566">
        <v>7</v>
      </c>
      <c r="B13" s="569" t="s">
        <v>701</v>
      </c>
      <c r="C13" s="747">
        <f t="shared" ref="C13:G13" si="3">SUM(C14:C16)</f>
        <v>195404358.96000001</v>
      </c>
      <c r="D13" s="747">
        <f t="shared" si="3"/>
        <v>191884884.55000001</v>
      </c>
      <c r="E13" s="747">
        <f t="shared" si="3"/>
        <v>3072290.45</v>
      </c>
      <c r="F13" s="747">
        <f t="shared" si="3"/>
        <v>426029.33</v>
      </c>
      <c r="G13" s="747">
        <f t="shared" si="3"/>
        <v>21154.63</v>
      </c>
      <c r="H13" s="748">
        <f t="shared" si="1"/>
        <v>194625455.06</v>
      </c>
      <c r="I13" s="747">
        <f t="shared" ref="I13:L13" si="4">SUM(I14:I16)</f>
        <v>190828910.88</v>
      </c>
      <c r="J13" s="747">
        <f t="shared" si="4"/>
        <v>3279713.8699999996</v>
      </c>
      <c r="K13" s="747">
        <f t="shared" si="4"/>
        <v>495630.03</v>
      </c>
      <c r="L13" s="747">
        <f t="shared" si="4"/>
        <v>21200.28</v>
      </c>
      <c r="M13" s="748">
        <f t="shared" si="2"/>
        <v>2063082.7999999998</v>
      </c>
      <c r="N13" s="747">
        <f t="shared" ref="N13:R13" si="5">SUM(N14:N16)</f>
        <v>1046512.77</v>
      </c>
      <c r="O13" s="747">
        <f t="shared" si="5"/>
        <v>609993.13</v>
      </c>
      <c r="P13" s="747">
        <f t="shared" si="5"/>
        <v>406343.61</v>
      </c>
      <c r="Q13" s="747">
        <f t="shared" si="5"/>
        <v>233.29</v>
      </c>
      <c r="R13" s="747">
        <f t="shared" si="5"/>
        <v>14962</v>
      </c>
      <c r="S13" s="753">
        <v>0.19280869290090072</v>
      </c>
      <c r="T13" s="757">
        <v>0.25280869290090069</v>
      </c>
      <c r="U13" s="757">
        <v>0.1674844886254527</v>
      </c>
      <c r="V13" s="750">
        <v>79.875303246157756</v>
      </c>
    </row>
    <row r="14" spans="1:22">
      <c r="A14" s="564">
        <v>7.1</v>
      </c>
      <c r="B14" s="563" t="s">
        <v>702</v>
      </c>
      <c r="C14" s="748">
        <f t="shared" si="0"/>
        <v>100044003.61</v>
      </c>
      <c r="D14" s="738">
        <v>99632792.299999997</v>
      </c>
      <c r="E14" s="738">
        <v>410665.47000000003</v>
      </c>
      <c r="F14" s="738">
        <v>0</v>
      </c>
      <c r="G14" s="738">
        <v>545.84</v>
      </c>
      <c r="H14" s="748">
        <f t="shared" si="1"/>
        <v>99696338.050000012</v>
      </c>
      <c r="I14" s="738">
        <v>99286376.680000007</v>
      </c>
      <c r="J14" s="738">
        <v>409415.52999999997</v>
      </c>
      <c r="K14" s="738">
        <v>0</v>
      </c>
      <c r="L14" s="738">
        <v>545.84</v>
      </c>
      <c r="M14" s="748">
        <f t="shared" si="2"/>
        <v>356573.66000000003</v>
      </c>
      <c r="N14" s="738">
        <v>263688.07</v>
      </c>
      <c r="O14" s="738">
        <v>92881.2</v>
      </c>
      <c r="P14" s="738">
        <v>0</v>
      </c>
      <c r="Q14" s="738">
        <v>4.3899999999999997</v>
      </c>
      <c r="R14" s="738">
        <v>1403</v>
      </c>
      <c r="S14" s="753">
        <v>0.14357226484941005</v>
      </c>
      <c r="T14" s="753">
        <v>0.17000000000000004</v>
      </c>
      <c r="U14" s="753">
        <v>0.13</v>
      </c>
      <c r="V14" s="749">
        <v>120.167771</v>
      </c>
    </row>
    <row r="15" spans="1:22" ht="24">
      <c r="A15" s="564">
        <v>7.2</v>
      </c>
      <c r="B15" s="563" t="s">
        <v>703</v>
      </c>
      <c r="C15" s="748">
        <f t="shared" si="0"/>
        <v>3379955.0799999996</v>
      </c>
      <c r="D15" s="738">
        <v>3365019.4699999997</v>
      </c>
      <c r="E15" s="738">
        <v>14935.61</v>
      </c>
      <c r="F15" s="738">
        <v>0</v>
      </c>
      <c r="G15" s="738">
        <v>0</v>
      </c>
      <c r="H15" s="748">
        <f t="shared" si="1"/>
        <v>3374189.41</v>
      </c>
      <c r="I15" s="738">
        <v>3358238.68</v>
      </c>
      <c r="J15" s="738">
        <v>15950.73</v>
      </c>
      <c r="K15" s="738">
        <v>0</v>
      </c>
      <c r="L15" s="738">
        <v>0</v>
      </c>
      <c r="M15" s="748">
        <f t="shared" si="2"/>
        <v>9436.880000000001</v>
      </c>
      <c r="N15" s="738">
        <v>8849.17</v>
      </c>
      <c r="O15" s="738">
        <v>587.71</v>
      </c>
      <c r="P15" s="738">
        <v>0</v>
      </c>
      <c r="Q15" s="738">
        <v>0</v>
      </c>
      <c r="R15" s="738">
        <v>56</v>
      </c>
      <c r="S15" s="753">
        <v>0.16097124533789925</v>
      </c>
      <c r="T15" s="753">
        <v>0.18829752113794218</v>
      </c>
      <c r="U15" s="753">
        <v>0.12</v>
      </c>
      <c r="V15" s="749">
        <v>96.643915000000007</v>
      </c>
    </row>
    <row r="16" spans="1:22">
      <c r="A16" s="564">
        <v>7.3</v>
      </c>
      <c r="B16" s="563" t="s">
        <v>704</v>
      </c>
      <c r="C16" s="748">
        <f t="shared" si="0"/>
        <v>91980400.270000011</v>
      </c>
      <c r="D16" s="738">
        <v>88887072.780000001</v>
      </c>
      <c r="E16" s="738">
        <v>2646689.37</v>
      </c>
      <c r="F16" s="738">
        <v>426029.33</v>
      </c>
      <c r="G16" s="738">
        <v>20608.79</v>
      </c>
      <c r="H16" s="748">
        <f t="shared" si="1"/>
        <v>91554927.599999994</v>
      </c>
      <c r="I16" s="738">
        <v>88184295.519999996</v>
      </c>
      <c r="J16" s="738">
        <v>2854347.61</v>
      </c>
      <c r="K16" s="738">
        <v>495630.03</v>
      </c>
      <c r="L16" s="738">
        <v>20654.439999999999</v>
      </c>
      <c r="M16" s="748">
        <f t="shared" si="2"/>
        <v>1697072.2599999998</v>
      </c>
      <c r="N16" s="738">
        <v>773975.53</v>
      </c>
      <c r="O16" s="738">
        <v>516524.22</v>
      </c>
      <c r="P16" s="738">
        <v>406343.61</v>
      </c>
      <c r="Q16" s="738">
        <v>228.9</v>
      </c>
      <c r="R16" s="738">
        <v>13503</v>
      </c>
      <c r="S16" s="753">
        <v>0.23863927413880209</v>
      </c>
      <c r="T16" s="753">
        <v>0.32592488229013977</v>
      </c>
      <c r="U16" s="753">
        <v>0.21</v>
      </c>
      <c r="V16" s="749">
        <v>35.434347000000002</v>
      </c>
    </row>
    <row r="17" spans="1:22">
      <c r="A17" s="566">
        <v>8</v>
      </c>
      <c r="B17" s="569" t="s">
        <v>705</v>
      </c>
      <c r="C17" s="748">
        <f t="shared" si="0"/>
        <v>0</v>
      </c>
      <c r="D17" s="738">
        <v>0</v>
      </c>
      <c r="E17" s="738">
        <v>0</v>
      </c>
      <c r="F17" s="738">
        <v>0</v>
      </c>
      <c r="G17" s="738">
        <v>0</v>
      </c>
      <c r="H17" s="748">
        <f t="shared" si="1"/>
        <v>0</v>
      </c>
      <c r="I17" s="738">
        <v>0</v>
      </c>
      <c r="J17" s="738">
        <v>0</v>
      </c>
      <c r="K17" s="738">
        <v>0</v>
      </c>
      <c r="L17" s="738">
        <v>0</v>
      </c>
      <c r="M17" s="748">
        <f t="shared" si="2"/>
        <v>0</v>
      </c>
      <c r="N17" s="738">
        <v>0</v>
      </c>
      <c r="O17" s="738">
        <v>0</v>
      </c>
      <c r="P17" s="738">
        <v>0</v>
      </c>
      <c r="Q17" s="738">
        <v>0</v>
      </c>
      <c r="R17" s="738">
        <v>0</v>
      </c>
      <c r="S17" s="753"/>
      <c r="T17" s="753"/>
      <c r="U17" s="753"/>
      <c r="V17" s="749"/>
    </row>
    <row r="18" spans="1:22">
      <c r="A18" s="568">
        <v>9</v>
      </c>
      <c r="B18" s="567" t="s">
        <v>706</v>
      </c>
      <c r="C18" s="748">
        <f t="shared" si="0"/>
        <v>5856547.4800000004</v>
      </c>
      <c r="D18" s="752">
        <v>5820547.5600000005</v>
      </c>
      <c r="E18" s="752">
        <v>28171.46</v>
      </c>
      <c r="F18" s="752">
        <v>7828.46</v>
      </c>
      <c r="G18" s="752">
        <v>0</v>
      </c>
      <c r="H18" s="748">
        <f t="shared" si="1"/>
        <v>5924560.4600000009</v>
      </c>
      <c r="I18" s="752">
        <v>5886176.5200000005</v>
      </c>
      <c r="J18" s="752">
        <v>29308.61</v>
      </c>
      <c r="K18" s="752">
        <v>9075.33</v>
      </c>
      <c r="L18" s="752">
        <v>0</v>
      </c>
      <c r="M18" s="748">
        <f t="shared" si="2"/>
        <v>89702.46</v>
      </c>
      <c r="N18" s="752">
        <v>70822.11</v>
      </c>
      <c r="O18" s="752">
        <v>11331.6</v>
      </c>
      <c r="P18" s="752">
        <v>7548.75</v>
      </c>
      <c r="Q18" s="752">
        <v>0</v>
      </c>
      <c r="R18" s="752">
        <v>2037</v>
      </c>
      <c r="S18" s="754">
        <v>5.037081291793382E-2</v>
      </c>
      <c r="T18" s="754">
        <v>7.0370812917933817E-2</v>
      </c>
      <c r="U18" s="754">
        <v>0.05</v>
      </c>
      <c r="V18" s="751">
        <v>48.709620999999999</v>
      </c>
    </row>
    <row r="19" spans="1:22">
      <c r="A19" s="566">
        <v>10</v>
      </c>
      <c r="B19" s="565" t="s">
        <v>723</v>
      </c>
      <c r="C19" s="748">
        <f>SUM(C7:C13)+C17+C18</f>
        <v>1369289172.3700001</v>
      </c>
      <c r="D19" s="746">
        <f t="shared" ref="D19:G19" si="6">SUM(D7:D13)+D17+D18</f>
        <v>1306958147.6599998</v>
      </c>
      <c r="E19" s="746">
        <f t="shared" si="6"/>
        <v>51960292.49000001</v>
      </c>
      <c r="F19" s="746">
        <f t="shared" si="6"/>
        <v>10272140.500000002</v>
      </c>
      <c r="G19" s="746">
        <f t="shared" si="6"/>
        <v>98591.72</v>
      </c>
      <c r="H19" s="748">
        <f>SUM(H7:H13)+H17+H18</f>
        <v>1368860118.8199999</v>
      </c>
      <c r="I19" s="746">
        <f t="shared" ref="I19:L19" si="7">SUM(I7:I13)+I17+I18</f>
        <v>1300941211.5300002</v>
      </c>
      <c r="J19" s="746">
        <f t="shared" si="7"/>
        <v>55654012.82</v>
      </c>
      <c r="K19" s="746">
        <f t="shared" si="7"/>
        <v>12164823.039999999</v>
      </c>
      <c r="L19" s="746">
        <f t="shared" si="7"/>
        <v>100071.43</v>
      </c>
      <c r="M19" s="748">
        <f>SUM(M7:M13)+M17+M18</f>
        <v>33051867.16</v>
      </c>
      <c r="N19" s="746">
        <f t="shared" ref="N19:R19" si="8">SUM(N7:N13)+N17+N18</f>
        <v>12927849.589999998</v>
      </c>
      <c r="O19" s="746">
        <f t="shared" si="8"/>
        <v>10066471.1</v>
      </c>
      <c r="P19" s="746">
        <f t="shared" si="8"/>
        <v>10045184.989999998</v>
      </c>
      <c r="Q19" s="746">
        <f t="shared" si="8"/>
        <v>12361.480000000001</v>
      </c>
      <c r="R19" s="746">
        <f t="shared" si="8"/>
        <v>545205</v>
      </c>
      <c r="S19" s="757">
        <v>0.21243568311598651</v>
      </c>
      <c r="T19" s="757">
        <v>0.31216830712120097</v>
      </c>
      <c r="U19" s="757">
        <v>0.20176232509676786</v>
      </c>
      <c r="V19" s="750">
        <v>46.296314165160041</v>
      </c>
    </row>
    <row r="20" spans="1:22" ht="24">
      <c r="A20" s="564">
        <v>10.1</v>
      </c>
      <c r="B20" s="563" t="s">
        <v>726</v>
      </c>
      <c r="C20" s="748">
        <f>SUM(D20:G20)</f>
        <v>1576979.3699999999</v>
      </c>
      <c r="D20" s="738">
        <v>1549454.04</v>
      </c>
      <c r="E20" s="738">
        <v>23873.15</v>
      </c>
      <c r="F20" s="738">
        <v>3652.1800000000003</v>
      </c>
      <c r="G20" s="738"/>
      <c r="H20" s="748">
        <f>SUM(I20:L20)</f>
        <v>1578069.99</v>
      </c>
      <c r="I20" s="738">
        <v>1549268.8900000001</v>
      </c>
      <c r="J20" s="738">
        <v>24312.17</v>
      </c>
      <c r="K20" s="738">
        <v>4488.93</v>
      </c>
      <c r="L20" s="738"/>
      <c r="M20" s="748">
        <f>SUM(N20:Q20)</f>
        <v>24462.31</v>
      </c>
      <c r="N20" s="738">
        <v>14576.99</v>
      </c>
      <c r="O20" s="738">
        <v>6188.7999999999993</v>
      </c>
      <c r="P20" s="738">
        <v>3696.52</v>
      </c>
      <c r="Q20" s="738"/>
      <c r="R20" s="738">
        <v>678</v>
      </c>
      <c r="S20" s="757">
        <v>0.23205815946735972</v>
      </c>
      <c r="T20" s="757">
        <v>0.30805796360321541</v>
      </c>
      <c r="U20" s="757">
        <v>0.22733091524209351</v>
      </c>
      <c r="V20" s="749">
        <v>30.564475641602602</v>
      </c>
    </row>
    <row r="22" spans="1:22">
      <c r="D22" s="756"/>
      <c r="E22" s="756"/>
      <c r="N22" s="756"/>
      <c r="T22" s="755"/>
    </row>
    <row r="23" spans="1:22">
      <c r="D23" s="756"/>
      <c r="E23" s="756"/>
      <c r="N23" s="756"/>
      <c r="T23" s="755"/>
      <c r="U23" s="756"/>
    </row>
    <row r="24" spans="1:22">
      <c r="D24" s="755"/>
      <c r="E24" s="755"/>
      <c r="F24" s="755"/>
      <c r="I24" s="755"/>
      <c r="J24" s="755"/>
      <c r="K24" s="755"/>
      <c r="N24" s="756"/>
      <c r="O24" s="755"/>
      <c r="P24" s="755"/>
    </row>
    <row r="25" spans="1:22">
      <c r="D25" s="756"/>
      <c r="E25" s="756"/>
      <c r="N25" s="756"/>
    </row>
    <row r="26" spans="1:22">
      <c r="D26" s="756"/>
      <c r="E26" s="756"/>
      <c r="N26" s="756"/>
    </row>
    <row r="27" spans="1:22">
      <c r="D27" s="756"/>
      <c r="E27" s="756"/>
      <c r="N27" s="756"/>
    </row>
    <row r="28" spans="1:22">
      <c r="D28" s="756"/>
      <c r="E28" s="756"/>
    </row>
    <row r="29" spans="1:22">
      <c r="D29" s="75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6" zoomScale="90" zoomScaleNormal="90" workbookViewId="0">
      <selection activeCell="F69" sqref="F69:H69"/>
    </sheetView>
  </sheetViews>
  <sheetFormatPr defaultRowHeight="14.4"/>
  <cols>
    <col min="1" max="1" width="8.77734375" style="456"/>
    <col min="2" max="2" width="69.21875" style="429" customWidth="1"/>
    <col min="3" max="3" width="17.77734375" bestFit="1" customWidth="1"/>
    <col min="4" max="4" width="14.44140625" customWidth="1"/>
    <col min="5" max="6" width="17.77734375" bestFit="1" customWidth="1"/>
    <col min="7" max="7" width="13.21875" customWidth="1"/>
    <col min="8" max="8" width="17.77734375" bestFit="1" customWidth="1"/>
  </cols>
  <sheetData>
    <row r="1" spans="1:8">
      <c r="A1" s="13" t="s">
        <v>111</v>
      </c>
      <c r="B1" s="307" t="str">
        <f>Info!C2</f>
        <v>სს "კრედო ბანკი"</v>
      </c>
      <c r="C1" s="12"/>
      <c r="D1" s="1"/>
      <c r="E1" s="1"/>
      <c r="F1" s="1"/>
      <c r="G1" s="1"/>
    </row>
    <row r="2" spans="1:8">
      <c r="A2" s="13" t="s">
        <v>112</v>
      </c>
      <c r="B2" s="338">
        <f>'1. key ratios'!B2</f>
        <v>45382</v>
      </c>
      <c r="C2" s="12"/>
      <c r="D2" s="1"/>
      <c r="E2" s="1"/>
      <c r="F2" s="1"/>
      <c r="G2" s="1"/>
    </row>
    <row r="3" spans="1:8">
      <c r="A3" s="13"/>
      <c r="B3" s="12"/>
      <c r="C3" s="12"/>
      <c r="D3" s="1"/>
      <c r="E3" s="1"/>
      <c r="F3" s="1"/>
      <c r="G3" s="1"/>
    </row>
    <row r="4" spans="1:8" ht="21" customHeight="1">
      <c r="A4" s="772" t="s">
        <v>27</v>
      </c>
      <c r="B4" s="773" t="s">
        <v>736</v>
      </c>
      <c r="C4" s="775" t="s">
        <v>117</v>
      </c>
      <c r="D4" s="775"/>
      <c r="E4" s="775"/>
      <c r="F4" s="775" t="s">
        <v>118</v>
      </c>
      <c r="G4" s="775"/>
      <c r="H4" s="776"/>
    </row>
    <row r="5" spans="1:8" ht="21" customHeight="1">
      <c r="A5" s="772"/>
      <c r="B5" s="774"/>
      <c r="C5" s="399" t="s">
        <v>28</v>
      </c>
      <c r="D5" s="399" t="s">
        <v>91</v>
      </c>
      <c r="E5" s="399" t="s">
        <v>68</v>
      </c>
      <c r="F5" s="399" t="s">
        <v>28</v>
      </c>
      <c r="G5" s="399" t="s">
        <v>91</v>
      </c>
      <c r="H5" s="399" t="s">
        <v>68</v>
      </c>
    </row>
    <row r="6" spans="1:8" ht="26.55" customHeight="1">
      <c r="A6" s="772"/>
      <c r="B6" s="400" t="s">
        <v>98</v>
      </c>
      <c r="C6" s="766"/>
      <c r="D6" s="767"/>
      <c r="E6" s="767"/>
      <c r="F6" s="767"/>
      <c r="G6" s="767"/>
      <c r="H6" s="768"/>
    </row>
    <row r="7" spans="1:8" ht="22.95" customHeight="1">
      <c r="A7" s="444">
        <v>1</v>
      </c>
      <c r="B7" s="401" t="s">
        <v>850</v>
      </c>
      <c r="C7" s="637">
        <f>SUM(C8:C10)</f>
        <v>187870268.54999998</v>
      </c>
      <c r="D7" s="637">
        <f>SUM(D8:D10)</f>
        <v>145464910.64999998</v>
      </c>
      <c r="E7" s="638">
        <f>C7+D7</f>
        <v>333335179.19999993</v>
      </c>
      <c r="F7" s="635">
        <f>SUM(F8:F10)</f>
        <v>112393800.30999999</v>
      </c>
      <c r="G7" s="635">
        <f>SUM(G8:G10)</f>
        <v>171194409.91000003</v>
      </c>
      <c r="H7" s="638">
        <f>F7+G7</f>
        <v>283588210.22000003</v>
      </c>
    </row>
    <row r="8" spans="1:8">
      <c r="A8" s="444">
        <v>1.1000000000000001</v>
      </c>
      <c r="B8" s="404" t="s">
        <v>99</v>
      </c>
      <c r="C8" s="637">
        <v>46378282.649999999</v>
      </c>
      <c r="D8" s="637">
        <v>33124259.039999999</v>
      </c>
      <c r="E8" s="638">
        <f t="shared" ref="E8:E36" si="0">C8+D8</f>
        <v>79502541.689999998</v>
      </c>
      <c r="F8" s="635">
        <v>45961325.849999994</v>
      </c>
      <c r="G8" s="635">
        <v>31919568.820000008</v>
      </c>
      <c r="H8" s="638">
        <f t="shared" ref="H8:H36" si="1">F8+G8</f>
        <v>77880894.670000002</v>
      </c>
    </row>
    <row r="9" spans="1:8">
      <c r="A9" s="444">
        <v>1.2</v>
      </c>
      <c r="B9" s="404" t="s">
        <v>100</v>
      </c>
      <c r="C9" s="637">
        <v>139792140.32999998</v>
      </c>
      <c r="D9" s="637">
        <v>50444570.019999981</v>
      </c>
      <c r="E9" s="638">
        <f t="shared" si="0"/>
        <v>190236710.34999996</v>
      </c>
      <c r="F9" s="635">
        <v>65219917.539999999</v>
      </c>
      <c r="G9" s="635">
        <v>34598045.750000007</v>
      </c>
      <c r="H9" s="638">
        <f t="shared" si="1"/>
        <v>99817963.290000007</v>
      </c>
    </row>
    <row r="10" spans="1:8">
      <c r="A10" s="444">
        <v>1.3</v>
      </c>
      <c r="B10" s="404" t="s">
        <v>101</v>
      </c>
      <c r="C10" s="637">
        <v>1699845.57</v>
      </c>
      <c r="D10" s="637">
        <v>61896081.590000004</v>
      </c>
      <c r="E10" s="638">
        <f t="shared" si="0"/>
        <v>63595927.160000004</v>
      </c>
      <c r="F10" s="635">
        <v>1212556.92</v>
      </c>
      <c r="G10" s="635">
        <v>104676795.34000002</v>
      </c>
      <c r="H10" s="638">
        <f t="shared" si="1"/>
        <v>105889352.26000002</v>
      </c>
    </row>
    <row r="11" spans="1:8">
      <c r="A11" s="444">
        <v>2</v>
      </c>
      <c r="B11" s="405" t="s">
        <v>737</v>
      </c>
      <c r="C11" s="402"/>
      <c r="D11" s="402"/>
      <c r="E11" s="403">
        <f t="shared" si="0"/>
        <v>0</v>
      </c>
      <c r="F11" s="635"/>
      <c r="G11" s="635"/>
      <c r="H11" s="638">
        <f t="shared" si="1"/>
        <v>0</v>
      </c>
    </row>
    <row r="12" spans="1:8">
      <c r="A12" s="444">
        <v>2.1</v>
      </c>
      <c r="B12" s="406" t="s">
        <v>738</v>
      </c>
      <c r="C12" s="402"/>
      <c r="D12" s="402"/>
      <c r="E12" s="403">
        <f t="shared" si="0"/>
        <v>0</v>
      </c>
      <c r="F12" s="635"/>
      <c r="G12" s="635"/>
      <c r="H12" s="638">
        <f t="shared" si="1"/>
        <v>0</v>
      </c>
    </row>
    <row r="13" spans="1:8" ht="26.55" customHeight="1">
      <c r="A13" s="444">
        <v>3</v>
      </c>
      <c r="B13" s="407" t="s">
        <v>739</v>
      </c>
      <c r="C13" s="637"/>
      <c r="D13" s="637"/>
      <c r="E13" s="638">
        <f t="shared" si="0"/>
        <v>0</v>
      </c>
      <c r="F13" s="635"/>
      <c r="G13" s="635"/>
      <c r="H13" s="638">
        <f t="shared" si="1"/>
        <v>0</v>
      </c>
    </row>
    <row r="14" spans="1:8" ht="26.55" customHeight="1">
      <c r="A14" s="444">
        <v>4</v>
      </c>
      <c r="B14" s="408" t="s">
        <v>740</v>
      </c>
      <c r="C14" s="637">
        <v>690577.37</v>
      </c>
      <c r="D14" s="637"/>
      <c r="E14" s="638">
        <f t="shared" si="0"/>
        <v>690577.37</v>
      </c>
      <c r="F14" s="635">
        <v>547621.99</v>
      </c>
      <c r="G14" s="635"/>
      <c r="H14" s="638">
        <f t="shared" si="1"/>
        <v>547621.99</v>
      </c>
    </row>
    <row r="15" spans="1:8" ht="24.45" customHeight="1">
      <c r="A15" s="444">
        <v>5</v>
      </c>
      <c r="B15" s="408" t="s">
        <v>741</v>
      </c>
      <c r="C15" s="644">
        <f>SUM(C16:C18)</f>
        <v>0</v>
      </c>
      <c r="D15" s="644">
        <f>SUM(D16:D18)</f>
        <v>0</v>
      </c>
      <c r="E15" s="639">
        <f t="shared" si="0"/>
        <v>0</v>
      </c>
      <c r="F15" s="636">
        <f>SUM(F16:F18)</f>
        <v>0</v>
      </c>
      <c r="G15" s="636">
        <f>SUM(G16:G18)</f>
        <v>0</v>
      </c>
      <c r="H15" s="639">
        <f t="shared" si="1"/>
        <v>0</v>
      </c>
    </row>
    <row r="16" spans="1:8">
      <c r="A16" s="444">
        <v>5.0999999999999996</v>
      </c>
      <c r="B16" s="409" t="s">
        <v>742</v>
      </c>
      <c r="C16" s="637"/>
      <c r="D16" s="637"/>
      <c r="E16" s="638">
        <f t="shared" si="0"/>
        <v>0</v>
      </c>
      <c r="F16" s="635"/>
      <c r="G16" s="635"/>
      <c r="H16" s="638">
        <f t="shared" si="1"/>
        <v>0</v>
      </c>
    </row>
    <row r="17" spans="1:8">
      <c r="A17" s="444">
        <v>5.2</v>
      </c>
      <c r="B17" s="409" t="s">
        <v>573</v>
      </c>
      <c r="C17" s="637"/>
      <c r="D17" s="637"/>
      <c r="E17" s="638">
        <f t="shared" si="0"/>
        <v>0</v>
      </c>
      <c r="F17" s="635"/>
      <c r="G17" s="635"/>
      <c r="H17" s="638">
        <f t="shared" si="1"/>
        <v>0</v>
      </c>
    </row>
    <row r="18" spans="1:8">
      <c r="A18" s="444">
        <v>5.3</v>
      </c>
      <c r="B18" s="409" t="s">
        <v>743</v>
      </c>
      <c r="C18" s="637"/>
      <c r="D18" s="637"/>
      <c r="E18" s="638">
        <f t="shared" si="0"/>
        <v>0</v>
      </c>
      <c r="F18" s="635"/>
      <c r="G18" s="635"/>
      <c r="H18" s="638">
        <f t="shared" si="1"/>
        <v>0</v>
      </c>
    </row>
    <row r="19" spans="1:8">
      <c r="A19" s="444">
        <v>6</v>
      </c>
      <c r="B19" s="407" t="s">
        <v>744</v>
      </c>
      <c r="C19" s="637">
        <f>SUM(C20:C21)</f>
        <v>1856703415.946095</v>
      </c>
      <c r="D19" s="637">
        <f>SUM(D20:D21)</f>
        <v>207649571.21484017</v>
      </c>
      <c r="E19" s="638">
        <f t="shared" si="0"/>
        <v>2064352987.1609352</v>
      </c>
      <c r="F19" s="635">
        <f>SUM(F20:F21)</f>
        <v>1625659106.0999999</v>
      </c>
      <c r="G19" s="635">
        <f>SUM(G20:G21)</f>
        <v>187024451.99624085</v>
      </c>
      <c r="H19" s="638">
        <f t="shared" si="1"/>
        <v>1812683558.0962408</v>
      </c>
    </row>
    <row r="20" spans="1:8">
      <c r="A20" s="444">
        <v>6.1</v>
      </c>
      <c r="B20" s="409" t="s">
        <v>573</v>
      </c>
      <c r="C20" s="637">
        <v>22367209.940000001</v>
      </c>
      <c r="D20" s="637"/>
      <c r="E20" s="638">
        <f t="shared" si="0"/>
        <v>22367209.940000001</v>
      </c>
      <c r="F20" s="635">
        <v>48473647.099999994</v>
      </c>
      <c r="G20" s="635"/>
      <c r="H20" s="638">
        <f t="shared" si="1"/>
        <v>48473647.099999994</v>
      </c>
    </row>
    <row r="21" spans="1:8">
      <c r="A21" s="444">
        <v>6.2</v>
      </c>
      <c r="B21" s="409" t="s">
        <v>743</v>
      </c>
      <c r="C21" s="637">
        <v>1834336206.0060949</v>
      </c>
      <c r="D21" s="637">
        <v>207649571.21484017</v>
      </c>
      <c r="E21" s="638">
        <f t="shared" si="0"/>
        <v>2041985777.2209351</v>
      </c>
      <c r="F21" s="635">
        <v>1577185459</v>
      </c>
      <c r="G21" s="635">
        <v>187024451.99624085</v>
      </c>
      <c r="H21" s="638">
        <f t="shared" si="1"/>
        <v>1764209910.9962409</v>
      </c>
    </row>
    <row r="22" spans="1:8">
      <c r="A22" s="444">
        <v>7</v>
      </c>
      <c r="B22" s="410" t="s">
        <v>745</v>
      </c>
      <c r="C22" s="637"/>
      <c r="D22" s="637"/>
      <c r="E22" s="638">
        <f t="shared" si="0"/>
        <v>0</v>
      </c>
      <c r="F22" s="635"/>
      <c r="G22" s="635"/>
      <c r="H22" s="638">
        <f t="shared" si="1"/>
        <v>0</v>
      </c>
    </row>
    <row r="23" spans="1:8">
      <c r="A23" s="444">
        <v>8</v>
      </c>
      <c r="B23" s="411" t="s">
        <v>746</v>
      </c>
      <c r="C23" s="637"/>
      <c r="D23" s="637"/>
      <c r="E23" s="638">
        <f t="shared" si="0"/>
        <v>0</v>
      </c>
      <c r="F23" s="635"/>
      <c r="G23" s="635"/>
      <c r="H23" s="638">
        <f t="shared" si="1"/>
        <v>0</v>
      </c>
    </row>
    <row r="24" spans="1:8">
      <c r="A24" s="444">
        <v>9</v>
      </c>
      <c r="B24" s="408" t="s">
        <v>747</v>
      </c>
      <c r="C24" s="637">
        <f>SUM(C25:C26)</f>
        <v>45329946.490000002</v>
      </c>
      <c r="D24" s="637">
        <f>SUM(D25:D26)</f>
        <v>0</v>
      </c>
      <c r="E24" s="638">
        <f t="shared" si="0"/>
        <v>45329946.490000002</v>
      </c>
      <c r="F24" s="635">
        <f>SUM(F25:F26)</f>
        <v>37588515.24000001</v>
      </c>
      <c r="G24" s="635">
        <f>SUM(G25:G26)</f>
        <v>0</v>
      </c>
      <c r="H24" s="638">
        <f t="shared" si="1"/>
        <v>37588515.24000001</v>
      </c>
    </row>
    <row r="25" spans="1:8">
      <c r="A25" s="444">
        <v>9.1</v>
      </c>
      <c r="B25" s="412" t="s">
        <v>748</v>
      </c>
      <c r="C25" s="637">
        <v>45329946.490000002</v>
      </c>
      <c r="D25" s="637"/>
      <c r="E25" s="638">
        <f t="shared" si="0"/>
        <v>45329946.490000002</v>
      </c>
      <c r="F25" s="635">
        <v>37588515.24000001</v>
      </c>
      <c r="G25" s="635"/>
      <c r="H25" s="638">
        <f t="shared" si="1"/>
        <v>37588515.24000001</v>
      </c>
    </row>
    <row r="26" spans="1:8">
      <c r="A26" s="444">
        <v>9.1999999999999993</v>
      </c>
      <c r="B26" s="412" t="s">
        <v>749</v>
      </c>
      <c r="C26" s="637"/>
      <c r="D26" s="637"/>
      <c r="E26" s="638">
        <f t="shared" si="0"/>
        <v>0</v>
      </c>
      <c r="F26" s="635"/>
      <c r="G26" s="635"/>
      <c r="H26" s="638">
        <f t="shared" si="1"/>
        <v>0</v>
      </c>
    </row>
    <row r="27" spans="1:8">
      <c r="A27" s="444">
        <v>10</v>
      </c>
      <c r="B27" s="408" t="s">
        <v>38</v>
      </c>
      <c r="C27" s="637">
        <f>SUM(C28:C29)</f>
        <v>23157935.830000002</v>
      </c>
      <c r="D27" s="637">
        <f>SUM(D28:D29)</f>
        <v>0</v>
      </c>
      <c r="E27" s="638">
        <f t="shared" si="0"/>
        <v>23157935.830000002</v>
      </c>
      <c r="F27" s="635">
        <f>SUM(F28:F29)</f>
        <v>20254474.150000002</v>
      </c>
      <c r="G27" s="635">
        <f>SUM(G28:G29)</f>
        <v>0</v>
      </c>
      <c r="H27" s="638">
        <f t="shared" si="1"/>
        <v>20254474.150000002</v>
      </c>
    </row>
    <row r="28" spans="1:8">
      <c r="A28" s="444">
        <v>10.1</v>
      </c>
      <c r="B28" s="412" t="s">
        <v>750</v>
      </c>
      <c r="C28" s="637"/>
      <c r="D28" s="637"/>
      <c r="E28" s="638">
        <f t="shared" si="0"/>
        <v>0</v>
      </c>
      <c r="F28" s="635"/>
      <c r="G28" s="635"/>
      <c r="H28" s="638">
        <f t="shared" si="1"/>
        <v>0</v>
      </c>
    </row>
    <row r="29" spans="1:8">
      <c r="A29" s="444">
        <v>10.199999999999999</v>
      </c>
      <c r="B29" s="412" t="s">
        <v>751</v>
      </c>
      <c r="C29" s="637">
        <v>23157935.830000002</v>
      </c>
      <c r="D29" s="637"/>
      <c r="E29" s="638">
        <f t="shared" si="0"/>
        <v>23157935.830000002</v>
      </c>
      <c r="F29" s="635">
        <v>20254474.150000002</v>
      </c>
      <c r="G29" s="635"/>
      <c r="H29" s="638">
        <f t="shared" si="1"/>
        <v>20254474.150000002</v>
      </c>
    </row>
    <row r="30" spans="1:8">
      <c r="A30" s="444">
        <v>11</v>
      </c>
      <c r="B30" s="408" t="s">
        <v>752</v>
      </c>
      <c r="C30" s="637">
        <f>SUM(C31:C32)</f>
        <v>0</v>
      </c>
      <c r="D30" s="637">
        <f>SUM(D31:D32)</f>
        <v>0</v>
      </c>
      <c r="E30" s="638">
        <f t="shared" si="0"/>
        <v>0</v>
      </c>
      <c r="F30" s="635">
        <f>SUM(F31:F32)</f>
        <v>1697888.5900000017</v>
      </c>
      <c r="G30" s="635">
        <f>SUM(G31:G32)</f>
        <v>0</v>
      </c>
      <c r="H30" s="638">
        <f t="shared" si="1"/>
        <v>1697888.5900000017</v>
      </c>
    </row>
    <row r="31" spans="1:8">
      <c r="A31" s="444">
        <v>11.1</v>
      </c>
      <c r="B31" s="412" t="s">
        <v>753</v>
      </c>
      <c r="C31" s="637"/>
      <c r="D31" s="637"/>
      <c r="E31" s="638">
        <f t="shared" si="0"/>
        <v>0</v>
      </c>
      <c r="F31" s="635">
        <v>1697888.5900000017</v>
      </c>
      <c r="G31" s="635"/>
      <c r="H31" s="638">
        <f t="shared" si="1"/>
        <v>1697888.5900000017</v>
      </c>
    </row>
    <row r="32" spans="1:8">
      <c r="A32" s="444">
        <v>11.2</v>
      </c>
      <c r="B32" s="412" t="s">
        <v>754</v>
      </c>
      <c r="C32" s="637"/>
      <c r="D32" s="637"/>
      <c r="E32" s="638">
        <f t="shared" si="0"/>
        <v>0</v>
      </c>
      <c r="F32" s="635"/>
      <c r="G32" s="635"/>
      <c r="H32" s="638">
        <f t="shared" si="1"/>
        <v>0</v>
      </c>
    </row>
    <row r="33" spans="1:8">
      <c r="A33" s="444">
        <v>13</v>
      </c>
      <c r="B33" s="408" t="s">
        <v>102</v>
      </c>
      <c r="C33" s="637">
        <v>38800440.390000015</v>
      </c>
      <c r="D33" s="637">
        <v>4158892.6899999976</v>
      </c>
      <c r="E33" s="638">
        <f t="shared" si="0"/>
        <v>42959333.080000013</v>
      </c>
      <c r="F33" s="635">
        <v>27614257.449999999</v>
      </c>
      <c r="G33" s="635">
        <v>2716970.83</v>
      </c>
      <c r="H33" s="638">
        <f t="shared" si="1"/>
        <v>30331228.280000001</v>
      </c>
    </row>
    <row r="34" spans="1:8">
      <c r="A34" s="444">
        <v>13.1</v>
      </c>
      <c r="B34" s="413" t="s">
        <v>755</v>
      </c>
      <c r="C34" s="637">
        <v>14614563.279999999</v>
      </c>
      <c r="D34" s="637"/>
      <c r="E34" s="638">
        <f t="shared" si="0"/>
        <v>14614563.279999999</v>
      </c>
      <c r="F34" s="637">
        <v>8420150</v>
      </c>
      <c r="G34" s="402"/>
      <c r="H34" s="638">
        <f t="shared" si="1"/>
        <v>8420150</v>
      </c>
    </row>
    <row r="35" spans="1:8">
      <c r="A35" s="444">
        <v>13.2</v>
      </c>
      <c r="B35" s="413" t="s">
        <v>756</v>
      </c>
      <c r="C35" s="637"/>
      <c r="D35" s="637"/>
      <c r="E35" s="638">
        <f t="shared" si="0"/>
        <v>0</v>
      </c>
      <c r="F35" s="402"/>
      <c r="G35" s="402"/>
      <c r="H35" s="638">
        <f t="shared" si="1"/>
        <v>0</v>
      </c>
    </row>
    <row r="36" spans="1:8">
      <c r="A36" s="444">
        <v>14</v>
      </c>
      <c r="B36" s="414" t="s">
        <v>757</v>
      </c>
      <c r="C36" s="637">
        <f>SUM(C7,C11,C13,C14,C15,C19,C22,C23,C24,C27,C30,C33)</f>
        <v>2152552584.5760951</v>
      </c>
      <c r="D36" s="637">
        <f>SUM(D7,D11,D13,D14,D15,D19,D22,D23,D24,D27,D30,D33)</f>
        <v>357273374.55484015</v>
      </c>
      <c r="E36" s="638">
        <f t="shared" si="0"/>
        <v>2509825959.1309352</v>
      </c>
      <c r="F36" s="637">
        <f>SUM(F7,F11,F13,F14,F15,F19,F22,F23,F24,F27,F30,F33)</f>
        <v>1825755663.8299999</v>
      </c>
      <c r="G36" s="637">
        <f>SUM(G7,G11,G13,G14,G15,G19,G22,G23,G24,G27,G30,G33)</f>
        <v>360935832.73624086</v>
      </c>
      <c r="H36" s="638">
        <f t="shared" si="1"/>
        <v>2186691496.5662408</v>
      </c>
    </row>
    <row r="37" spans="1:8" ht="22.5" customHeight="1">
      <c r="A37" s="444"/>
      <c r="B37" s="415" t="s">
        <v>107</v>
      </c>
      <c r="C37" s="766"/>
      <c r="D37" s="767"/>
      <c r="E37" s="767"/>
      <c r="F37" s="767"/>
      <c r="G37" s="767"/>
      <c r="H37" s="768"/>
    </row>
    <row r="38" spans="1:8">
      <c r="A38" s="444">
        <v>15</v>
      </c>
      <c r="B38" s="416" t="s">
        <v>758</v>
      </c>
      <c r="C38" s="417"/>
      <c r="D38" s="417"/>
      <c r="E38" s="418">
        <f>C38+D38</f>
        <v>0</v>
      </c>
      <c r="F38" s="635"/>
      <c r="G38" s="635"/>
      <c r="H38" s="641">
        <f>F38+G38</f>
        <v>0</v>
      </c>
    </row>
    <row r="39" spans="1:8">
      <c r="A39" s="444">
        <v>15.1</v>
      </c>
      <c r="B39" s="419" t="s">
        <v>738</v>
      </c>
      <c r="C39" s="417"/>
      <c r="D39" s="417"/>
      <c r="E39" s="418">
        <f t="shared" ref="E39:E53" si="2">C39+D39</f>
        <v>0</v>
      </c>
      <c r="F39" s="635"/>
      <c r="G39" s="635"/>
      <c r="H39" s="641">
        <f t="shared" ref="H39:H53" si="3">F39+G39</f>
        <v>0</v>
      </c>
    </row>
    <row r="40" spans="1:8" ht="24" customHeight="1">
      <c r="A40" s="444">
        <v>16</v>
      </c>
      <c r="B40" s="410" t="s">
        <v>759</v>
      </c>
      <c r="C40" s="645">
        <v>1268249.3600000001</v>
      </c>
      <c r="D40" s="417"/>
      <c r="E40" s="641">
        <f t="shared" si="2"/>
        <v>1268249.3600000001</v>
      </c>
      <c r="F40" s="635"/>
      <c r="G40" s="635"/>
      <c r="H40" s="641">
        <f t="shared" si="3"/>
        <v>0</v>
      </c>
    </row>
    <row r="41" spans="1:8">
      <c r="A41" s="444">
        <v>17</v>
      </c>
      <c r="B41" s="410" t="s">
        <v>760</v>
      </c>
      <c r="C41" s="645">
        <f>SUM(C42:C45)</f>
        <v>1478323887.5800033</v>
      </c>
      <c r="D41" s="645">
        <f>SUM(D42:D45)</f>
        <v>535575707.22290093</v>
      </c>
      <c r="E41" s="641">
        <f t="shared" si="2"/>
        <v>2013899594.8029041</v>
      </c>
      <c r="F41" s="635">
        <f>SUM(F42:F45)</f>
        <v>1298028438.05</v>
      </c>
      <c r="G41" s="635">
        <f>SUM(G42:G45)</f>
        <v>486682576.58999997</v>
      </c>
      <c r="H41" s="641">
        <f t="shared" si="3"/>
        <v>1784711014.6399999</v>
      </c>
    </row>
    <row r="42" spans="1:8">
      <c r="A42" s="444">
        <v>17.100000000000001</v>
      </c>
      <c r="B42" s="420" t="s">
        <v>761</v>
      </c>
      <c r="C42" s="645">
        <v>653886032.53000355</v>
      </c>
      <c r="D42" s="645">
        <v>281578948.23290098</v>
      </c>
      <c r="E42" s="641">
        <f t="shared" si="2"/>
        <v>935464980.76290452</v>
      </c>
      <c r="F42" s="635">
        <v>475102771</v>
      </c>
      <c r="G42" s="635">
        <v>203174711</v>
      </c>
      <c r="H42" s="641">
        <f t="shared" si="3"/>
        <v>678277482</v>
      </c>
    </row>
    <row r="43" spans="1:8">
      <c r="A43" s="444">
        <v>17.2</v>
      </c>
      <c r="B43" s="421" t="s">
        <v>103</v>
      </c>
      <c r="C43" s="645">
        <v>810091504.17999995</v>
      </c>
      <c r="D43" s="645">
        <v>247383289.28999996</v>
      </c>
      <c r="E43" s="641">
        <f t="shared" si="2"/>
        <v>1057474793.4699999</v>
      </c>
      <c r="F43" s="635">
        <v>811930594</v>
      </c>
      <c r="G43" s="635">
        <v>277168464.76999998</v>
      </c>
      <c r="H43" s="641">
        <f t="shared" si="3"/>
        <v>1089099058.77</v>
      </c>
    </row>
    <row r="44" spans="1:8">
      <c r="A44" s="444">
        <v>17.3</v>
      </c>
      <c r="B44" s="420" t="s">
        <v>762</v>
      </c>
      <c r="C44" s="645"/>
      <c r="D44" s="645"/>
      <c r="E44" s="641">
        <f t="shared" si="2"/>
        <v>0</v>
      </c>
      <c r="F44" s="635"/>
      <c r="G44" s="635"/>
      <c r="H44" s="641">
        <f t="shared" si="3"/>
        <v>0</v>
      </c>
    </row>
    <row r="45" spans="1:8">
      <c r="A45" s="444">
        <v>17.399999999999999</v>
      </c>
      <c r="B45" s="420" t="s">
        <v>763</v>
      </c>
      <c r="C45" s="645">
        <v>14346350.869999999</v>
      </c>
      <c r="D45" s="645">
        <v>6613469.7000000002</v>
      </c>
      <c r="E45" s="641">
        <f t="shared" si="2"/>
        <v>20959820.57</v>
      </c>
      <c r="F45" s="640">
        <v>10995073.049999999</v>
      </c>
      <c r="G45" s="640">
        <v>6339400.8200000003</v>
      </c>
      <c r="H45" s="641">
        <f t="shared" si="3"/>
        <v>17334473.869999997</v>
      </c>
    </row>
    <row r="46" spans="1:8">
      <c r="A46" s="444">
        <v>18</v>
      </c>
      <c r="B46" s="408" t="s">
        <v>764</v>
      </c>
      <c r="C46" s="645"/>
      <c r="D46" s="645"/>
      <c r="E46" s="641">
        <f t="shared" si="2"/>
        <v>0</v>
      </c>
      <c r="F46" s="635"/>
      <c r="G46" s="635"/>
      <c r="H46" s="641">
        <f t="shared" si="3"/>
        <v>0</v>
      </c>
    </row>
    <row r="47" spans="1:8">
      <c r="A47" s="444">
        <v>19</v>
      </c>
      <c r="B47" s="408" t="s">
        <v>765</v>
      </c>
      <c r="C47" s="645">
        <f>SUM(C48:C49)</f>
        <v>5689316.4899999956</v>
      </c>
      <c r="D47" s="645">
        <f>SUM(D48:D49)</f>
        <v>0</v>
      </c>
      <c r="E47" s="641">
        <f t="shared" si="2"/>
        <v>5689316.4899999956</v>
      </c>
      <c r="F47" s="635">
        <f>SUM(F48:F49)</f>
        <v>3787169.63</v>
      </c>
      <c r="G47" s="635">
        <f>SUM(G48:G49)</f>
        <v>0</v>
      </c>
      <c r="H47" s="641">
        <f t="shared" si="3"/>
        <v>3787169.63</v>
      </c>
    </row>
    <row r="48" spans="1:8">
      <c r="A48" s="444">
        <v>19.100000000000001</v>
      </c>
      <c r="B48" s="422" t="s">
        <v>766</v>
      </c>
      <c r="C48" s="645">
        <v>588722.64999999665</v>
      </c>
      <c r="D48" s="645"/>
      <c r="E48" s="641">
        <f t="shared" si="2"/>
        <v>588722.64999999665</v>
      </c>
      <c r="F48" s="635"/>
      <c r="G48" s="635"/>
      <c r="H48" s="641">
        <f t="shared" si="3"/>
        <v>0</v>
      </c>
    </row>
    <row r="49" spans="1:8">
      <c r="A49" s="444">
        <v>19.2</v>
      </c>
      <c r="B49" s="423" t="s">
        <v>767</v>
      </c>
      <c r="C49" s="645">
        <v>5100593.8399999989</v>
      </c>
      <c r="D49" s="645"/>
      <c r="E49" s="641">
        <f t="shared" si="2"/>
        <v>5100593.8399999989</v>
      </c>
      <c r="F49" s="635">
        <v>3787169.63</v>
      </c>
      <c r="G49" s="635"/>
      <c r="H49" s="641">
        <f t="shared" si="3"/>
        <v>3787169.63</v>
      </c>
    </row>
    <row r="50" spans="1:8">
      <c r="A50" s="444">
        <v>20</v>
      </c>
      <c r="B50" s="424" t="s">
        <v>104</v>
      </c>
      <c r="C50" s="645">
        <v>62701146.609999999</v>
      </c>
      <c r="D50" s="645">
        <v>64852375.160000011</v>
      </c>
      <c r="E50" s="641">
        <f t="shared" si="2"/>
        <v>127553521.77000001</v>
      </c>
      <c r="F50" s="635">
        <v>62629667.800000004</v>
      </c>
      <c r="G50" s="635">
        <v>33258542.579999991</v>
      </c>
      <c r="H50" s="641">
        <f t="shared" si="3"/>
        <v>95888210.379999995</v>
      </c>
    </row>
    <row r="51" spans="1:8">
      <c r="A51" s="444">
        <v>21</v>
      </c>
      <c r="B51" s="425" t="s">
        <v>92</v>
      </c>
      <c r="C51" s="645">
        <v>39132412.839999996</v>
      </c>
      <c r="D51" s="645">
        <v>4364899.2300000042</v>
      </c>
      <c r="E51" s="641">
        <f t="shared" si="2"/>
        <v>43497312.07</v>
      </c>
      <c r="F51" s="635">
        <v>27589898</v>
      </c>
      <c r="G51" s="635">
        <v>5184958.490000017</v>
      </c>
      <c r="H51" s="641">
        <f t="shared" si="3"/>
        <v>32774856.490000017</v>
      </c>
    </row>
    <row r="52" spans="1:8">
      <c r="A52" s="444">
        <v>21.1</v>
      </c>
      <c r="B52" s="421" t="s">
        <v>768</v>
      </c>
      <c r="C52" s="645"/>
      <c r="D52" s="645"/>
      <c r="E52" s="641">
        <f t="shared" si="2"/>
        <v>0</v>
      </c>
      <c r="F52" s="635"/>
      <c r="G52" s="635"/>
      <c r="H52" s="641">
        <f t="shared" si="3"/>
        <v>0</v>
      </c>
    </row>
    <row r="53" spans="1:8">
      <c r="A53" s="444">
        <v>22</v>
      </c>
      <c r="B53" s="424" t="s">
        <v>769</v>
      </c>
      <c r="C53" s="645">
        <f>SUM(C38,C40,C41,C46,C47,C50,C51)</f>
        <v>1587115012.880003</v>
      </c>
      <c r="D53" s="645">
        <f>SUM(D38,D40,D41,D46,D47,D50,D51)</f>
        <v>604792981.61290097</v>
      </c>
      <c r="E53" s="641">
        <f t="shared" si="2"/>
        <v>2191907994.4929037</v>
      </c>
      <c r="F53" s="635">
        <f>SUM(F38,F40,F41,F46,F47,F50,F51)</f>
        <v>1392035173.48</v>
      </c>
      <c r="G53" s="635">
        <f>SUM(G38,G40,G41,G46,G47,G50,G51)</f>
        <v>525126077.65999997</v>
      </c>
      <c r="H53" s="641">
        <f t="shared" si="3"/>
        <v>1917161251.1399999</v>
      </c>
    </row>
    <row r="54" spans="1:8" ht="24" customHeight="1">
      <c r="A54" s="444"/>
      <c r="B54" s="426" t="s">
        <v>770</v>
      </c>
      <c r="C54" s="769"/>
      <c r="D54" s="770"/>
      <c r="E54" s="770"/>
      <c r="F54" s="770"/>
      <c r="G54" s="770"/>
      <c r="H54" s="771"/>
    </row>
    <row r="55" spans="1:8">
      <c r="A55" s="444">
        <v>23</v>
      </c>
      <c r="B55" s="424" t="s">
        <v>108</v>
      </c>
      <c r="C55" s="645">
        <v>5210230</v>
      </c>
      <c r="D55" s="645"/>
      <c r="E55" s="641">
        <f>C55+D55</f>
        <v>5210230</v>
      </c>
      <c r="F55" s="635">
        <v>5186820</v>
      </c>
      <c r="G55" s="635"/>
      <c r="H55" s="641">
        <f>F55+G55</f>
        <v>5186820</v>
      </c>
    </row>
    <row r="56" spans="1:8">
      <c r="A56" s="444">
        <v>24</v>
      </c>
      <c r="B56" s="424" t="s">
        <v>771</v>
      </c>
      <c r="C56" s="645"/>
      <c r="D56" s="645"/>
      <c r="E56" s="641">
        <f t="shared" ref="E56:E69" si="4">C56+D56</f>
        <v>0</v>
      </c>
      <c r="F56" s="635"/>
      <c r="G56" s="635"/>
      <c r="H56" s="641">
        <f t="shared" ref="H56:H69" si="5">F56+G56</f>
        <v>0</v>
      </c>
    </row>
    <row r="57" spans="1:8">
      <c r="A57" s="444">
        <v>25</v>
      </c>
      <c r="B57" s="424" t="s">
        <v>105</v>
      </c>
      <c r="C57" s="645">
        <v>37102057.82</v>
      </c>
      <c r="D57" s="645"/>
      <c r="E57" s="641">
        <f t="shared" si="4"/>
        <v>37102057.82</v>
      </c>
      <c r="F57" s="635">
        <v>35780630.32</v>
      </c>
      <c r="G57" s="635"/>
      <c r="H57" s="641">
        <f t="shared" si="5"/>
        <v>35780630.32</v>
      </c>
    </row>
    <row r="58" spans="1:8">
      <c r="A58" s="444">
        <v>26</v>
      </c>
      <c r="B58" s="408" t="s">
        <v>772</v>
      </c>
      <c r="C58" s="645"/>
      <c r="D58" s="645"/>
      <c r="E58" s="641">
        <f t="shared" si="4"/>
        <v>0</v>
      </c>
      <c r="F58" s="635"/>
      <c r="G58" s="635"/>
      <c r="H58" s="641">
        <f t="shared" si="5"/>
        <v>0</v>
      </c>
    </row>
    <row r="59" spans="1:8">
      <c r="A59" s="444">
        <v>27</v>
      </c>
      <c r="B59" s="408" t="s">
        <v>773</v>
      </c>
      <c r="C59" s="645">
        <f>SUM(C60:C61)</f>
        <v>0</v>
      </c>
      <c r="D59" s="645">
        <f>SUM(D60:D61)</f>
        <v>0</v>
      </c>
      <c r="E59" s="641">
        <f t="shared" si="4"/>
        <v>0</v>
      </c>
      <c r="F59" s="635">
        <f>SUM(F60:F61)</f>
        <v>0</v>
      </c>
      <c r="G59" s="635">
        <f>SUM(G60:G61)</f>
        <v>0</v>
      </c>
      <c r="H59" s="641">
        <f t="shared" si="5"/>
        <v>0</v>
      </c>
    </row>
    <row r="60" spans="1:8">
      <c r="A60" s="444">
        <v>27.1</v>
      </c>
      <c r="B60" s="422" t="s">
        <v>774</v>
      </c>
      <c r="C60" s="645"/>
      <c r="D60" s="645"/>
      <c r="E60" s="641">
        <f t="shared" si="4"/>
        <v>0</v>
      </c>
      <c r="F60" s="635"/>
      <c r="G60" s="635"/>
      <c r="H60" s="641">
        <f t="shared" si="5"/>
        <v>0</v>
      </c>
    </row>
    <row r="61" spans="1:8">
      <c r="A61" s="444">
        <v>27.2</v>
      </c>
      <c r="B61" s="420" t="s">
        <v>775</v>
      </c>
      <c r="C61" s="645"/>
      <c r="D61" s="645"/>
      <c r="E61" s="641">
        <f t="shared" si="4"/>
        <v>0</v>
      </c>
      <c r="F61" s="635"/>
      <c r="G61" s="635"/>
      <c r="H61" s="641">
        <f t="shared" si="5"/>
        <v>0</v>
      </c>
    </row>
    <row r="62" spans="1:8">
      <c r="A62" s="444">
        <v>28</v>
      </c>
      <c r="B62" s="425" t="s">
        <v>776</v>
      </c>
      <c r="C62" s="645"/>
      <c r="D62" s="645"/>
      <c r="E62" s="641">
        <f t="shared" si="4"/>
        <v>0</v>
      </c>
      <c r="F62" s="635"/>
      <c r="G62" s="635"/>
      <c r="H62" s="641">
        <f t="shared" si="5"/>
        <v>0</v>
      </c>
    </row>
    <row r="63" spans="1:8">
      <c r="A63" s="444">
        <v>29</v>
      </c>
      <c r="B63" s="408" t="s">
        <v>777</v>
      </c>
      <c r="C63" s="645">
        <f>SUM(C64:C66)</f>
        <v>0</v>
      </c>
      <c r="D63" s="645">
        <f>SUM(D64:D66)</f>
        <v>0</v>
      </c>
      <c r="E63" s="641">
        <f t="shared" si="4"/>
        <v>0</v>
      </c>
      <c r="F63" s="635">
        <f>SUM(F64:F66)</f>
        <v>0</v>
      </c>
      <c r="G63" s="635">
        <f>SUM(G64:G66)</f>
        <v>0</v>
      </c>
      <c r="H63" s="641">
        <f t="shared" si="5"/>
        <v>0</v>
      </c>
    </row>
    <row r="64" spans="1:8">
      <c r="A64" s="444">
        <v>29.1</v>
      </c>
      <c r="B64" s="409" t="s">
        <v>778</v>
      </c>
      <c r="C64" s="645"/>
      <c r="D64" s="645"/>
      <c r="E64" s="641">
        <f t="shared" si="4"/>
        <v>0</v>
      </c>
      <c r="F64" s="635"/>
      <c r="G64" s="635"/>
      <c r="H64" s="641">
        <f t="shared" si="5"/>
        <v>0</v>
      </c>
    </row>
    <row r="65" spans="1:8" ht="25.05" customHeight="1">
      <c r="A65" s="444">
        <v>29.2</v>
      </c>
      <c r="B65" s="422" t="s">
        <v>779</v>
      </c>
      <c r="C65" s="645"/>
      <c r="D65" s="645"/>
      <c r="E65" s="641">
        <f t="shared" si="4"/>
        <v>0</v>
      </c>
      <c r="F65" s="635"/>
      <c r="G65" s="635"/>
      <c r="H65" s="641">
        <f t="shared" si="5"/>
        <v>0</v>
      </c>
    </row>
    <row r="66" spans="1:8" ht="22.5" customHeight="1">
      <c r="A66" s="444">
        <v>29.3</v>
      </c>
      <c r="B66" s="412" t="s">
        <v>780</v>
      </c>
      <c r="C66" s="645"/>
      <c r="D66" s="645"/>
      <c r="E66" s="641">
        <f t="shared" si="4"/>
        <v>0</v>
      </c>
      <c r="F66" s="635"/>
      <c r="G66" s="635"/>
      <c r="H66" s="641">
        <f t="shared" si="5"/>
        <v>0</v>
      </c>
    </row>
    <row r="67" spans="1:8">
      <c r="A67" s="444">
        <v>30</v>
      </c>
      <c r="B67" s="408" t="s">
        <v>106</v>
      </c>
      <c r="C67" s="645">
        <v>275605678.41000676</v>
      </c>
      <c r="D67" s="645"/>
      <c r="E67" s="641">
        <f t="shared" si="4"/>
        <v>275605678.41000676</v>
      </c>
      <c r="F67" s="635">
        <v>228562795.54999998</v>
      </c>
      <c r="G67" s="635"/>
      <c r="H67" s="641">
        <f t="shared" si="5"/>
        <v>228562795.54999998</v>
      </c>
    </row>
    <row r="68" spans="1:8">
      <c r="A68" s="444">
        <v>31</v>
      </c>
      <c r="B68" s="427" t="s">
        <v>781</v>
      </c>
      <c r="C68" s="645">
        <f>SUM(C55,C56,C57,C58,C59,C62,C63,C67)</f>
        <v>317917966.23000675</v>
      </c>
      <c r="D68" s="645">
        <f>SUM(D55,D56,D57,D58,D59,D62,D63,D67)</f>
        <v>0</v>
      </c>
      <c r="E68" s="641">
        <f t="shared" si="4"/>
        <v>317917966.23000675</v>
      </c>
      <c r="F68" s="635">
        <f>SUM(F55,F56,F57,F58,F59,F62,F63,F67)</f>
        <v>269530245.87</v>
      </c>
      <c r="G68" s="635">
        <f>SUM(G55,G56,G57,G58,G59,G62,G63,G67)</f>
        <v>0</v>
      </c>
      <c r="H68" s="641">
        <f t="shared" si="5"/>
        <v>269530245.87</v>
      </c>
    </row>
    <row r="69" spans="1:8">
      <c r="A69" s="444">
        <v>32</v>
      </c>
      <c r="B69" s="428" t="s">
        <v>782</v>
      </c>
      <c r="C69" s="645">
        <f>SUM(C53,C68)</f>
        <v>1905032979.1100097</v>
      </c>
      <c r="D69" s="645">
        <f>SUM(D53,D68)</f>
        <v>604792981.61290097</v>
      </c>
      <c r="E69" s="641">
        <f t="shared" si="4"/>
        <v>2509825960.7229109</v>
      </c>
      <c r="F69" s="635">
        <f>SUM(F53,F68)</f>
        <v>1661565419.3499999</v>
      </c>
      <c r="G69" s="635">
        <f>SUM(G53,G68)</f>
        <v>525126077.65999997</v>
      </c>
      <c r="H69" s="641">
        <f t="shared" si="5"/>
        <v>2186691497.0099998</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84" zoomScale="80" zoomScaleNormal="80" workbookViewId="0">
      <selection activeCell="B149" sqref="B149:C149"/>
    </sheetView>
  </sheetViews>
  <sheetFormatPr defaultColWidth="43.5546875" defaultRowHeight="12"/>
  <cols>
    <col min="1" max="1" width="8" style="155" customWidth="1"/>
    <col min="2" max="2" width="66.21875" style="156" customWidth="1"/>
    <col min="3" max="3" width="131.44140625" style="157" customWidth="1"/>
    <col min="4" max="5" width="10.21875" style="148" customWidth="1"/>
    <col min="6" max="16384" width="43.5546875" style="148"/>
  </cols>
  <sheetData>
    <row r="1" spans="1:3" ht="13.2" thickTop="1" thickBot="1">
      <c r="A1" s="878" t="s">
        <v>191</v>
      </c>
      <c r="B1" s="879"/>
      <c r="C1" s="880"/>
    </row>
    <row r="2" spans="1:3" ht="26.25" customHeight="1">
      <c r="A2" s="388"/>
      <c r="B2" s="881" t="s">
        <v>192</v>
      </c>
      <c r="C2" s="881"/>
    </row>
    <row r="3" spans="1:3" s="153" customFormat="1" ht="11.25" customHeight="1">
      <c r="A3" s="152"/>
      <c r="B3" s="881" t="s">
        <v>267</v>
      </c>
      <c r="C3" s="881"/>
    </row>
    <row r="4" spans="1:3" ht="12" customHeight="1" thickBot="1">
      <c r="A4" s="882" t="s">
        <v>271</v>
      </c>
      <c r="B4" s="883"/>
      <c r="C4" s="884"/>
    </row>
    <row r="5" spans="1:3" ht="12.6" thickTop="1">
      <c r="A5" s="149"/>
      <c r="B5" s="885" t="s">
        <v>193</v>
      </c>
      <c r="C5" s="886"/>
    </row>
    <row r="6" spans="1:3">
      <c r="A6" s="388"/>
      <c r="B6" s="887" t="s">
        <v>268</v>
      </c>
      <c r="C6" s="888"/>
    </row>
    <row r="7" spans="1:3">
      <c r="A7" s="388"/>
      <c r="B7" s="887" t="s">
        <v>194</v>
      </c>
      <c r="C7" s="888"/>
    </row>
    <row r="8" spans="1:3">
      <c r="A8" s="388"/>
      <c r="B8" s="887" t="s">
        <v>269</v>
      </c>
      <c r="C8" s="888"/>
    </row>
    <row r="9" spans="1:3">
      <c r="A9" s="388"/>
      <c r="B9" s="891" t="s">
        <v>270</v>
      </c>
      <c r="C9" s="892"/>
    </row>
    <row r="10" spans="1:3">
      <c r="A10" s="388"/>
      <c r="B10" s="889" t="s">
        <v>195</v>
      </c>
      <c r="C10" s="890" t="s">
        <v>195</v>
      </c>
    </row>
    <row r="11" spans="1:3">
      <c r="A11" s="388"/>
      <c r="B11" s="889" t="s">
        <v>196</v>
      </c>
      <c r="C11" s="890" t="s">
        <v>196</v>
      </c>
    </row>
    <row r="12" spans="1:3">
      <c r="A12" s="388"/>
      <c r="B12" s="889" t="s">
        <v>197</v>
      </c>
      <c r="C12" s="890" t="s">
        <v>197</v>
      </c>
    </row>
    <row r="13" spans="1:3">
      <c r="A13" s="388"/>
      <c r="B13" s="889" t="s">
        <v>198</v>
      </c>
      <c r="C13" s="890" t="s">
        <v>198</v>
      </c>
    </row>
    <row r="14" spans="1:3">
      <c r="A14" s="388"/>
      <c r="B14" s="889" t="s">
        <v>199</v>
      </c>
      <c r="C14" s="890" t="s">
        <v>199</v>
      </c>
    </row>
    <row r="15" spans="1:3" ht="21.75" customHeight="1">
      <c r="A15" s="388"/>
      <c r="B15" s="889" t="s">
        <v>200</v>
      </c>
      <c r="C15" s="890" t="s">
        <v>200</v>
      </c>
    </row>
    <row r="16" spans="1:3">
      <c r="A16" s="388"/>
      <c r="B16" s="889" t="s">
        <v>201</v>
      </c>
      <c r="C16" s="890" t="s">
        <v>202</v>
      </c>
    </row>
    <row r="17" spans="1:3">
      <c r="A17" s="388"/>
      <c r="B17" s="889" t="s">
        <v>203</v>
      </c>
      <c r="C17" s="890" t="s">
        <v>204</v>
      </c>
    </row>
    <row r="18" spans="1:3">
      <c r="A18" s="388"/>
      <c r="B18" s="889" t="s">
        <v>205</v>
      </c>
      <c r="C18" s="890" t="s">
        <v>206</v>
      </c>
    </row>
    <row r="19" spans="1:3">
      <c r="A19" s="388"/>
      <c r="B19" s="889" t="s">
        <v>207</v>
      </c>
      <c r="C19" s="890" t="s">
        <v>207</v>
      </c>
    </row>
    <row r="20" spans="1:3">
      <c r="A20" s="388"/>
      <c r="B20" s="889" t="s">
        <v>208</v>
      </c>
      <c r="C20" s="890" t="s">
        <v>208</v>
      </c>
    </row>
    <row r="21" spans="1:3">
      <c r="A21" s="388"/>
      <c r="B21" s="889" t="s">
        <v>209</v>
      </c>
      <c r="C21" s="890" t="s">
        <v>209</v>
      </c>
    </row>
    <row r="22" spans="1:3" ht="23.25" customHeight="1">
      <c r="A22" s="388"/>
      <c r="B22" s="889" t="s">
        <v>210</v>
      </c>
      <c r="C22" s="890" t="s">
        <v>211</v>
      </c>
    </row>
    <row r="23" spans="1:3">
      <c r="A23" s="388"/>
      <c r="B23" s="889" t="s">
        <v>212</v>
      </c>
      <c r="C23" s="890" t="s">
        <v>212</v>
      </c>
    </row>
    <row r="24" spans="1:3">
      <c r="A24" s="388"/>
      <c r="B24" s="889" t="s">
        <v>213</v>
      </c>
      <c r="C24" s="890" t="s">
        <v>214</v>
      </c>
    </row>
    <row r="25" spans="1:3" ht="12.6" thickBot="1">
      <c r="A25" s="150"/>
      <c r="B25" s="898" t="s">
        <v>215</v>
      </c>
      <c r="C25" s="899"/>
    </row>
    <row r="26" spans="1:3" ht="13.2" thickTop="1" thickBot="1">
      <c r="A26" s="882" t="s">
        <v>851</v>
      </c>
      <c r="B26" s="883"/>
      <c r="C26" s="884"/>
    </row>
    <row r="27" spans="1:3" ht="13.2" thickTop="1" thickBot="1">
      <c r="A27" s="151"/>
      <c r="B27" s="900" t="s">
        <v>852</v>
      </c>
      <c r="C27" s="901"/>
    </row>
    <row r="28" spans="1:3" ht="13.2" thickTop="1" thickBot="1">
      <c r="A28" s="882" t="s">
        <v>272</v>
      </c>
      <c r="B28" s="883"/>
      <c r="C28" s="884"/>
    </row>
    <row r="29" spans="1:3" ht="12.6" thickTop="1">
      <c r="A29" s="149"/>
      <c r="B29" s="902" t="s">
        <v>855</v>
      </c>
      <c r="C29" s="903" t="s">
        <v>216</v>
      </c>
    </row>
    <row r="30" spans="1:3">
      <c r="A30" s="388"/>
      <c r="B30" s="893" t="s">
        <v>220</v>
      </c>
      <c r="C30" s="894" t="s">
        <v>217</v>
      </c>
    </row>
    <row r="31" spans="1:3">
      <c r="A31" s="388"/>
      <c r="B31" s="893" t="s">
        <v>853</v>
      </c>
      <c r="C31" s="894" t="s">
        <v>218</v>
      </c>
    </row>
    <row r="32" spans="1:3">
      <c r="A32" s="388"/>
      <c r="B32" s="893" t="s">
        <v>854</v>
      </c>
      <c r="C32" s="894" t="s">
        <v>219</v>
      </c>
    </row>
    <row r="33" spans="1:3">
      <c r="A33" s="388"/>
      <c r="B33" s="893" t="s">
        <v>223</v>
      </c>
      <c r="C33" s="894" t="s">
        <v>224</v>
      </c>
    </row>
    <row r="34" spans="1:3">
      <c r="A34" s="388"/>
      <c r="B34" s="893" t="s">
        <v>856</v>
      </c>
      <c r="C34" s="894" t="s">
        <v>221</v>
      </c>
    </row>
    <row r="35" spans="1:3">
      <c r="A35" s="388"/>
      <c r="B35" s="893" t="s">
        <v>857</v>
      </c>
      <c r="C35" s="894" t="s">
        <v>222</v>
      </c>
    </row>
    <row r="36" spans="1:3">
      <c r="A36" s="388"/>
      <c r="B36" s="895" t="s">
        <v>858</v>
      </c>
      <c r="C36" s="896"/>
    </row>
    <row r="37" spans="1:3" ht="24.75" customHeight="1">
      <c r="A37" s="388"/>
      <c r="B37" s="893" t="s">
        <v>859</v>
      </c>
      <c r="C37" s="894" t="s">
        <v>225</v>
      </c>
    </row>
    <row r="38" spans="1:3" ht="23.25" customHeight="1">
      <c r="A38" s="388"/>
      <c r="B38" s="893" t="s">
        <v>860</v>
      </c>
      <c r="C38" s="894" t="s">
        <v>226</v>
      </c>
    </row>
    <row r="39" spans="1:3" ht="23.25" customHeight="1">
      <c r="A39" s="458"/>
      <c r="B39" s="895" t="s">
        <v>861</v>
      </c>
      <c r="C39" s="897"/>
    </row>
    <row r="40" spans="1:3" ht="12" customHeight="1">
      <c r="A40" s="388"/>
      <c r="B40" s="893" t="s">
        <v>862</v>
      </c>
      <c r="C40" s="894"/>
    </row>
    <row r="41" spans="1:3" ht="12.6" thickBot="1">
      <c r="A41" s="882" t="s">
        <v>273</v>
      </c>
      <c r="B41" s="883"/>
      <c r="C41" s="884"/>
    </row>
    <row r="42" spans="1:3" ht="12.6" thickTop="1">
      <c r="A42" s="149"/>
      <c r="B42" s="885" t="s">
        <v>303</v>
      </c>
      <c r="C42" s="886" t="s">
        <v>227</v>
      </c>
    </row>
    <row r="43" spans="1:3">
      <c r="A43" s="388"/>
      <c r="B43" s="887" t="s">
        <v>302</v>
      </c>
      <c r="C43" s="888"/>
    </row>
    <row r="44" spans="1:3" ht="23.25" customHeight="1" thickBot="1">
      <c r="A44" s="150"/>
      <c r="B44" s="904" t="s">
        <v>228</v>
      </c>
      <c r="C44" s="905" t="s">
        <v>229</v>
      </c>
    </row>
    <row r="45" spans="1:3" ht="11.25" customHeight="1" thickTop="1" thickBot="1">
      <c r="A45" s="882" t="s">
        <v>274</v>
      </c>
      <c r="B45" s="883"/>
      <c r="C45" s="884"/>
    </row>
    <row r="46" spans="1:3" ht="26.25" customHeight="1" thickTop="1">
      <c r="A46" s="388"/>
      <c r="B46" s="887" t="s">
        <v>275</v>
      </c>
      <c r="C46" s="888"/>
    </row>
    <row r="47" spans="1:3" ht="12.6" thickBot="1">
      <c r="A47" s="882" t="s">
        <v>276</v>
      </c>
      <c r="B47" s="883"/>
      <c r="C47" s="884"/>
    </row>
    <row r="48" spans="1:3" ht="12.6" thickTop="1">
      <c r="A48" s="149"/>
      <c r="B48" s="885" t="s">
        <v>230</v>
      </c>
      <c r="C48" s="886" t="s">
        <v>230</v>
      </c>
    </row>
    <row r="49" spans="1:3" ht="11.25" customHeight="1">
      <c r="A49" s="388"/>
      <c r="B49" s="887" t="s">
        <v>231</v>
      </c>
      <c r="C49" s="888" t="s">
        <v>231</v>
      </c>
    </row>
    <row r="50" spans="1:3">
      <c r="A50" s="388"/>
      <c r="B50" s="887" t="s">
        <v>232</v>
      </c>
      <c r="C50" s="888" t="s">
        <v>232</v>
      </c>
    </row>
    <row r="51" spans="1:3" ht="11.25" customHeight="1">
      <c r="A51" s="388"/>
      <c r="B51" s="887" t="s">
        <v>864</v>
      </c>
      <c r="C51" s="888" t="s">
        <v>233</v>
      </c>
    </row>
    <row r="52" spans="1:3" ht="33.6" customHeight="1">
      <c r="A52" s="388"/>
      <c r="B52" s="887" t="s">
        <v>234</v>
      </c>
      <c r="C52" s="888" t="s">
        <v>234</v>
      </c>
    </row>
    <row r="53" spans="1:3" ht="11.25" customHeight="1">
      <c r="A53" s="388"/>
      <c r="B53" s="887" t="s">
        <v>323</v>
      </c>
      <c r="C53" s="888" t="s">
        <v>235</v>
      </c>
    </row>
    <row r="54" spans="1:3" ht="11.25" customHeight="1" thickBot="1">
      <c r="A54" s="882" t="s">
        <v>277</v>
      </c>
      <c r="B54" s="883"/>
      <c r="C54" s="884"/>
    </row>
    <row r="55" spans="1:3" ht="12.6" thickTop="1">
      <c r="A55" s="149"/>
      <c r="B55" s="885" t="s">
        <v>230</v>
      </c>
      <c r="C55" s="886" t="s">
        <v>230</v>
      </c>
    </row>
    <row r="56" spans="1:3">
      <c r="A56" s="388"/>
      <c r="B56" s="887" t="s">
        <v>236</v>
      </c>
      <c r="C56" s="888" t="s">
        <v>236</v>
      </c>
    </row>
    <row r="57" spans="1:3">
      <c r="A57" s="388"/>
      <c r="B57" s="887" t="s">
        <v>280</v>
      </c>
      <c r="C57" s="888" t="s">
        <v>237</v>
      </c>
    </row>
    <row r="58" spans="1:3">
      <c r="A58" s="388"/>
      <c r="B58" s="887" t="s">
        <v>238</v>
      </c>
      <c r="C58" s="888" t="s">
        <v>238</v>
      </c>
    </row>
    <row r="59" spans="1:3">
      <c r="A59" s="388"/>
      <c r="B59" s="887" t="s">
        <v>239</v>
      </c>
      <c r="C59" s="888" t="s">
        <v>239</v>
      </c>
    </row>
    <row r="60" spans="1:3">
      <c r="A60" s="388"/>
      <c r="B60" s="887" t="s">
        <v>240</v>
      </c>
      <c r="C60" s="888" t="s">
        <v>240</v>
      </c>
    </row>
    <row r="61" spans="1:3">
      <c r="A61" s="388"/>
      <c r="B61" s="887" t="s">
        <v>281</v>
      </c>
      <c r="C61" s="888" t="s">
        <v>241</v>
      </c>
    </row>
    <row r="62" spans="1:3">
      <c r="A62" s="388"/>
      <c r="B62" s="887" t="s">
        <v>242</v>
      </c>
      <c r="C62" s="888" t="s">
        <v>242</v>
      </c>
    </row>
    <row r="63" spans="1:3" ht="12.6" thickBot="1">
      <c r="A63" s="150"/>
      <c r="B63" s="904" t="s">
        <v>243</v>
      </c>
      <c r="C63" s="905" t="s">
        <v>243</v>
      </c>
    </row>
    <row r="64" spans="1:3" ht="11.25" customHeight="1" thickTop="1">
      <c r="A64" s="908" t="s">
        <v>278</v>
      </c>
      <c r="B64" s="909"/>
      <c r="C64" s="910"/>
    </row>
    <row r="65" spans="1:3" ht="12.6" thickBot="1">
      <c r="A65" s="150"/>
      <c r="B65" s="904" t="s">
        <v>244</v>
      </c>
      <c r="C65" s="905" t="s">
        <v>244</v>
      </c>
    </row>
    <row r="66" spans="1:3" ht="11.25" customHeight="1" thickTop="1" thickBot="1">
      <c r="A66" s="882" t="s">
        <v>279</v>
      </c>
      <c r="B66" s="883"/>
      <c r="C66" s="884"/>
    </row>
    <row r="67" spans="1:3" ht="12.6" thickTop="1">
      <c r="A67" s="149"/>
      <c r="B67" s="885" t="s">
        <v>245</v>
      </c>
      <c r="C67" s="886" t="s">
        <v>245</v>
      </c>
    </row>
    <row r="68" spans="1:3">
      <c r="A68" s="388"/>
      <c r="B68" s="887" t="s">
        <v>866</v>
      </c>
      <c r="C68" s="888" t="s">
        <v>246</v>
      </c>
    </row>
    <row r="69" spans="1:3">
      <c r="A69" s="388"/>
      <c r="B69" s="887" t="s">
        <v>247</v>
      </c>
      <c r="C69" s="888" t="s">
        <v>247</v>
      </c>
    </row>
    <row r="70" spans="1:3" ht="55.05" customHeight="1">
      <c r="A70" s="388"/>
      <c r="B70" s="906" t="s">
        <v>693</v>
      </c>
      <c r="C70" s="907" t="s">
        <v>248</v>
      </c>
    </row>
    <row r="71" spans="1:3" ht="33.75" customHeight="1">
      <c r="A71" s="388"/>
      <c r="B71" s="906" t="s">
        <v>282</v>
      </c>
      <c r="C71" s="907" t="s">
        <v>249</v>
      </c>
    </row>
    <row r="72" spans="1:3" ht="15.75" customHeight="1">
      <c r="A72" s="388"/>
      <c r="B72" s="906" t="s">
        <v>867</v>
      </c>
      <c r="C72" s="907" t="s">
        <v>250</v>
      </c>
    </row>
    <row r="73" spans="1:3">
      <c r="A73" s="388"/>
      <c r="B73" s="887" t="s">
        <v>251</v>
      </c>
      <c r="C73" s="888" t="s">
        <v>251</v>
      </c>
    </row>
    <row r="74" spans="1:3" ht="12.6" thickBot="1">
      <c r="A74" s="150"/>
      <c r="B74" s="904" t="s">
        <v>252</v>
      </c>
      <c r="C74" s="905" t="s">
        <v>252</v>
      </c>
    </row>
    <row r="75" spans="1:3" ht="12.6" thickTop="1">
      <c r="A75" s="908" t="s">
        <v>306</v>
      </c>
      <c r="B75" s="909"/>
      <c r="C75" s="910"/>
    </row>
    <row r="76" spans="1:3">
      <c r="A76" s="388"/>
      <c r="B76" s="887" t="s">
        <v>244</v>
      </c>
      <c r="C76" s="888"/>
    </row>
    <row r="77" spans="1:3">
      <c r="A77" s="388"/>
      <c r="B77" s="887" t="s">
        <v>304</v>
      </c>
      <c r="C77" s="888"/>
    </row>
    <row r="78" spans="1:3">
      <c r="A78" s="388"/>
      <c r="B78" s="887" t="s">
        <v>305</v>
      </c>
      <c r="C78" s="888"/>
    </row>
    <row r="79" spans="1:3">
      <c r="A79" s="908" t="s">
        <v>307</v>
      </c>
      <c r="B79" s="909"/>
      <c r="C79" s="910"/>
    </row>
    <row r="80" spans="1:3">
      <c r="A80" s="388"/>
      <c r="B80" s="887" t="s">
        <v>244</v>
      </c>
      <c r="C80" s="888"/>
    </row>
    <row r="81" spans="1:3">
      <c r="A81" s="388"/>
      <c r="B81" s="887" t="s">
        <v>308</v>
      </c>
      <c r="C81" s="888"/>
    </row>
    <row r="82" spans="1:3" ht="79.5" customHeight="1">
      <c r="A82" s="388"/>
      <c r="B82" s="887" t="s">
        <v>322</v>
      </c>
      <c r="C82" s="888"/>
    </row>
    <row r="83" spans="1:3" ht="53.25" customHeight="1">
      <c r="A83" s="388"/>
      <c r="B83" s="887" t="s">
        <v>321</v>
      </c>
      <c r="C83" s="888"/>
    </row>
    <row r="84" spans="1:3">
      <c r="A84" s="388"/>
      <c r="B84" s="887" t="s">
        <v>309</v>
      </c>
      <c r="C84" s="888"/>
    </row>
    <row r="85" spans="1:3">
      <c r="A85" s="388"/>
      <c r="B85" s="887" t="s">
        <v>310</v>
      </c>
      <c r="C85" s="888"/>
    </row>
    <row r="86" spans="1:3">
      <c r="A86" s="388"/>
      <c r="B86" s="887" t="s">
        <v>311</v>
      </c>
      <c r="C86" s="888"/>
    </row>
    <row r="87" spans="1:3">
      <c r="A87" s="908" t="s">
        <v>312</v>
      </c>
      <c r="B87" s="909"/>
      <c r="C87" s="910"/>
    </row>
    <row r="88" spans="1:3">
      <c r="A88" s="388"/>
      <c r="B88" s="887" t="s">
        <v>244</v>
      </c>
      <c r="C88" s="888"/>
    </row>
    <row r="89" spans="1:3">
      <c r="A89" s="388"/>
      <c r="B89" s="887" t="s">
        <v>314</v>
      </c>
      <c r="C89" s="888"/>
    </row>
    <row r="90" spans="1:3" ht="12" customHeight="1">
      <c r="A90" s="388"/>
      <c r="B90" s="887" t="s">
        <v>315</v>
      </c>
      <c r="C90" s="888"/>
    </row>
    <row r="91" spans="1:3">
      <c r="A91" s="388"/>
      <c r="B91" s="887" t="s">
        <v>316</v>
      </c>
      <c r="C91" s="888"/>
    </row>
    <row r="92" spans="1:3" ht="24.75" customHeight="1">
      <c r="A92" s="388"/>
      <c r="B92" s="911" t="s">
        <v>352</v>
      </c>
      <c r="C92" s="912"/>
    </row>
    <row r="93" spans="1:3" ht="24" customHeight="1">
      <c r="A93" s="388"/>
      <c r="B93" s="911" t="s">
        <v>353</v>
      </c>
      <c r="C93" s="912"/>
    </row>
    <row r="94" spans="1:3" ht="13.5" customHeight="1">
      <c r="A94" s="388"/>
      <c r="B94" s="913" t="s">
        <v>317</v>
      </c>
      <c r="C94" s="914"/>
    </row>
    <row r="95" spans="1:3" ht="11.25" customHeight="1" thickBot="1">
      <c r="A95" s="915" t="s">
        <v>348</v>
      </c>
      <c r="B95" s="916"/>
      <c r="C95" s="917"/>
    </row>
    <row r="96" spans="1:3" ht="13.2" thickTop="1" thickBot="1">
      <c r="A96" s="924" t="s">
        <v>253</v>
      </c>
      <c r="B96" s="924"/>
      <c r="C96" s="924"/>
    </row>
    <row r="97" spans="1:3">
      <c r="A97" s="230">
        <v>2</v>
      </c>
      <c r="B97" s="376" t="s">
        <v>328</v>
      </c>
      <c r="C97" s="376" t="s">
        <v>349</v>
      </c>
    </row>
    <row r="98" spans="1:3">
      <c r="A98" s="154">
        <v>3</v>
      </c>
      <c r="B98" s="377" t="s">
        <v>329</v>
      </c>
      <c r="C98" s="378" t="s">
        <v>350</v>
      </c>
    </row>
    <row r="99" spans="1:3">
      <c r="A99" s="154">
        <v>4</v>
      </c>
      <c r="B99" s="377" t="s">
        <v>330</v>
      </c>
      <c r="C99" s="378" t="s">
        <v>354</v>
      </c>
    </row>
    <row r="100" spans="1:3" ht="11.25" customHeight="1">
      <c r="A100" s="154">
        <v>5</v>
      </c>
      <c r="B100" s="377" t="s">
        <v>331</v>
      </c>
      <c r="C100" s="378" t="s">
        <v>351</v>
      </c>
    </row>
    <row r="101" spans="1:3" ht="12" customHeight="1">
      <c r="A101" s="154">
        <v>6</v>
      </c>
      <c r="B101" s="377" t="s">
        <v>346</v>
      </c>
      <c r="C101" s="378" t="s">
        <v>332</v>
      </c>
    </row>
    <row r="102" spans="1:3" ht="12" customHeight="1">
      <c r="A102" s="154">
        <v>7</v>
      </c>
      <c r="B102" s="377" t="s">
        <v>333</v>
      </c>
      <c r="C102" s="378" t="s">
        <v>347</v>
      </c>
    </row>
    <row r="103" spans="1:3">
      <c r="A103" s="154">
        <v>8</v>
      </c>
      <c r="B103" s="377" t="s">
        <v>338</v>
      </c>
      <c r="C103" s="378" t="s">
        <v>358</v>
      </c>
    </row>
    <row r="104" spans="1:3" ht="11.25" customHeight="1">
      <c r="A104" s="908" t="s">
        <v>318</v>
      </c>
      <c r="B104" s="909"/>
      <c r="C104" s="910"/>
    </row>
    <row r="105" spans="1:3" ht="12" customHeight="1">
      <c r="A105" s="388"/>
      <c r="B105" s="887" t="s">
        <v>244</v>
      </c>
      <c r="C105" s="888"/>
    </row>
    <row r="106" spans="1:3">
      <c r="A106" s="908" t="s">
        <v>493</v>
      </c>
      <c r="B106" s="909"/>
      <c r="C106" s="910"/>
    </row>
    <row r="107" spans="1:3" ht="12" customHeight="1">
      <c r="A107" s="388"/>
      <c r="B107" s="887" t="s">
        <v>495</v>
      </c>
      <c r="C107" s="888"/>
    </row>
    <row r="108" spans="1:3">
      <c r="A108" s="388"/>
      <c r="B108" s="887" t="s">
        <v>496</v>
      </c>
      <c r="C108" s="888"/>
    </row>
    <row r="109" spans="1:3">
      <c r="A109" s="388"/>
      <c r="B109" s="887" t="s">
        <v>494</v>
      </c>
      <c r="C109" s="888"/>
    </row>
    <row r="110" spans="1:3">
      <c r="A110" s="918" t="s">
        <v>731</v>
      </c>
      <c r="B110" s="918"/>
      <c r="C110" s="918"/>
    </row>
    <row r="111" spans="1:3">
      <c r="A111" s="919" t="s">
        <v>191</v>
      </c>
      <c r="B111" s="919"/>
      <c r="C111" s="919"/>
    </row>
    <row r="112" spans="1:3">
      <c r="A112" s="600">
        <v>1</v>
      </c>
      <c r="B112" s="920" t="s">
        <v>611</v>
      </c>
      <c r="C112" s="921"/>
    </row>
    <row r="113" spans="1:3">
      <c r="A113" s="600">
        <v>2</v>
      </c>
      <c r="B113" s="922" t="s">
        <v>612</v>
      </c>
      <c r="C113" s="923"/>
    </row>
    <row r="114" spans="1:3">
      <c r="A114" s="600">
        <v>3</v>
      </c>
      <c r="B114" s="920" t="s">
        <v>948</v>
      </c>
      <c r="C114" s="921"/>
    </row>
    <row r="115" spans="1:3">
      <c r="A115" s="600">
        <v>4</v>
      </c>
      <c r="B115" s="920" t="s">
        <v>947</v>
      </c>
      <c r="C115" s="921"/>
    </row>
    <row r="116" spans="1:3">
      <c r="A116" s="600">
        <v>5</v>
      </c>
      <c r="B116" s="604" t="s">
        <v>946</v>
      </c>
      <c r="C116" s="603"/>
    </row>
    <row r="117" spans="1:3">
      <c r="A117" s="600">
        <v>6</v>
      </c>
      <c r="B117" s="920" t="s">
        <v>945</v>
      </c>
      <c r="C117" s="921"/>
    </row>
    <row r="118" spans="1:3">
      <c r="A118" s="600">
        <v>7</v>
      </c>
      <c r="B118" s="920" t="s">
        <v>944</v>
      </c>
      <c r="C118" s="921"/>
    </row>
    <row r="119" spans="1:3">
      <c r="A119" s="577">
        <v>8</v>
      </c>
      <c r="B119" s="572" t="s">
        <v>638</v>
      </c>
      <c r="C119" s="597" t="s">
        <v>943</v>
      </c>
    </row>
    <row r="120" spans="1:3" ht="24">
      <c r="A120" s="600">
        <v>9.01</v>
      </c>
      <c r="B120" s="572" t="s">
        <v>522</v>
      </c>
      <c r="C120" s="573" t="s">
        <v>688</v>
      </c>
    </row>
    <row r="121" spans="1:3" ht="36">
      <c r="A121" s="600">
        <v>9.02</v>
      </c>
      <c r="B121" s="572" t="s">
        <v>523</v>
      </c>
      <c r="C121" s="573" t="s">
        <v>691</v>
      </c>
    </row>
    <row r="122" spans="1:3">
      <c r="A122" s="600">
        <v>9.0299999999999994</v>
      </c>
      <c r="B122" s="573" t="s">
        <v>875</v>
      </c>
      <c r="C122" s="573" t="s">
        <v>613</v>
      </c>
    </row>
    <row r="123" spans="1:3">
      <c r="A123" s="600">
        <v>9.0399999999999991</v>
      </c>
      <c r="B123" s="572" t="s">
        <v>524</v>
      </c>
      <c r="C123" s="573" t="s">
        <v>614</v>
      </c>
    </row>
    <row r="124" spans="1:3">
      <c r="A124" s="600">
        <v>9.0500000000000007</v>
      </c>
      <c r="B124" s="572" t="s">
        <v>525</v>
      </c>
      <c r="C124" s="573" t="s">
        <v>615</v>
      </c>
    </row>
    <row r="125" spans="1:3" ht="24">
      <c r="A125" s="600">
        <v>9.06</v>
      </c>
      <c r="B125" s="572" t="s">
        <v>526</v>
      </c>
      <c r="C125" s="573" t="s">
        <v>616</v>
      </c>
    </row>
    <row r="126" spans="1:3">
      <c r="A126" s="600">
        <v>9.07</v>
      </c>
      <c r="B126" s="602" t="s">
        <v>527</v>
      </c>
      <c r="C126" s="573" t="s">
        <v>617</v>
      </c>
    </row>
    <row r="127" spans="1:3" ht="24">
      <c r="A127" s="600">
        <v>9.08</v>
      </c>
      <c r="B127" s="572" t="s">
        <v>528</v>
      </c>
      <c r="C127" s="573" t="s">
        <v>618</v>
      </c>
    </row>
    <row r="128" spans="1:3" ht="24">
      <c r="A128" s="600">
        <v>9.09</v>
      </c>
      <c r="B128" s="572" t="s">
        <v>529</v>
      </c>
      <c r="C128" s="573" t="s">
        <v>619</v>
      </c>
    </row>
    <row r="129" spans="1:3">
      <c r="A129" s="601">
        <v>9.1</v>
      </c>
      <c r="B129" s="572" t="s">
        <v>530</v>
      </c>
      <c r="C129" s="573" t="s">
        <v>620</v>
      </c>
    </row>
    <row r="130" spans="1:3">
      <c r="A130" s="600">
        <v>9.11</v>
      </c>
      <c r="B130" s="572" t="s">
        <v>531</v>
      </c>
      <c r="C130" s="573" t="s">
        <v>621</v>
      </c>
    </row>
    <row r="131" spans="1:3">
      <c r="A131" s="600">
        <v>9.1199999999999992</v>
      </c>
      <c r="B131" s="572" t="s">
        <v>532</v>
      </c>
      <c r="C131" s="573" t="s">
        <v>622</v>
      </c>
    </row>
    <row r="132" spans="1:3">
      <c r="A132" s="600">
        <v>9.1300000000000008</v>
      </c>
      <c r="B132" s="572" t="s">
        <v>533</v>
      </c>
      <c r="C132" s="573" t="s">
        <v>623</v>
      </c>
    </row>
    <row r="133" spans="1:3">
      <c r="A133" s="600">
        <v>9.14</v>
      </c>
      <c r="B133" s="572" t="s">
        <v>534</v>
      </c>
      <c r="C133" s="573" t="s">
        <v>624</v>
      </c>
    </row>
    <row r="134" spans="1:3">
      <c r="A134" s="600">
        <v>9.15</v>
      </c>
      <c r="B134" s="572" t="s">
        <v>535</v>
      </c>
      <c r="C134" s="573" t="s">
        <v>625</v>
      </c>
    </row>
    <row r="135" spans="1:3">
      <c r="A135" s="600">
        <v>9.16</v>
      </c>
      <c r="B135" s="572" t="s">
        <v>536</v>
      </c>
      <c r="C135" s="573" t="s">
        <v>626</v>
      </c>
    </row>
    <row r="136" spans="1:3">
      <c r="A136" s="600">
        <v>9.17</v>
      </c>
      <c r="B136" s="573" t="s">
        <v>537</v>
      </c>
      <c r="C136" s="573" t="s">
        <v>627</v>
      </c>
    </row>
    <row r="137" spans="1:3" ht="24">
      <c r="A137" s="600">
        <v>9.18</v>
      </c>
      <c r="B137" s="572" t="s">
        <v>538</v>
      </c>
      <c r="C137" s="573" t="s">
        <v>628</v>
      </c>
    </row>
    <row r="138" spans="1:3">
      <c r="A138" s="600">
        <v>9.19</v>
      </c>
      <c r="B138" s="572" t="s">
        <v>539</v>
      </c>
      <c r="C138" s="573" t="s">
        <v>629</v>
      </c>
    </row>
    <row r="139" spans="1:3">
      <c r="A139" s="601">
        <v>9.1999999999999993</v>
      </c>
      <c r="B139" s="572" t="s">
        <v>540</v>
      </c>
      <c r="C139" s="573" t="s">
        <v>630</v>
      </c>
    </row>
    <row r="140" spans="1:3">
      <c r="A140" s="600">
        <v>9.2100000000000009</v>
      </c>
      <c r="B140" s="572" t="s">
        <v>541</v>
      </c>
      <c r="C140" s="573" t="s">
        <v>631</v>
      </c>
    </row>
    <row r="141" spans="1:3">
      <c r="A141" s="600">
        <v>9.2200000000000006</v>
      </c>
      <c r="B141" s="572" t="s">
        <v>542</v>
      </c>
      <c r="C141" s="573" t="s">
        <v>632</v>
      </c>
    </row>
    <row r="142" spans="1:3" ht="24">
      <c r="A142" s="600">
        <v>9.23</v>
      </c>
      <c r="B142" s="572" t="s">
        <v>543</v>
      </c>
      <c r="C142" s="573" t="s">
        <v>633</v>
      </c>
    </row>
    <row r="143" spans="1:3" ht="24">
      <c r="A143" s="600">
        <v>9.24</v>
      </c>
      <c r="B143" s="572" t="s">
        <v>544</v>
      </c>
      <c r="C143" s="573" t="s">
        <v>634</v>
      </c>
    </row>
    <row r="144" spans="1:3">
      <c r="A144" s="600">
        <v>9.2500000000000107</v>
      </c>
      <c r="B144" s="572" t="s">
        <v>545</v>
      </c>
      <c r="C144" s="573" t="s">
        <v>635</v>
      </c>
    </row>
    <row r="145" spans="1:3" ht="24">
      <c r="A145" s="600">
        <v>9.2600000000000193</v>
      </c>
      <c r="B145" s="572" t="s">
        <v>636</v>
      </c>
      <c r="C145" s="599" t="s">
        <v>637</v>
      </c>
    </row>
    <row r="146" spans="1:3" s="389" customFormat="1" ht="24">
      <c r="A146" s="600">
        <v>9.2700000000000298</v>
      </c>
      <c r="B146" s="572" t="s">
        <v>102</v>
      </c>
      <c r="C146" s="599" t="s">
        <v>689</v>
      </c>
    </row>
    <row r="147" spans="1:3" s="389" customFormat="1">
      <c r="A147" s="578"/>
      <c r="B147" s="926" t="s">
        <v>639</v>
      </c>
      <c r="C147" s="927"/>
    </row>
    <row r="148" spans="1:3" s="389" customFormat="1">
      <c r="A148" s="577">
        <v>1</v>
      </c>
      <c r="B148" s="928" t="s">
        <v>942</v>
      </c>
      <c r="C148" s="929"/>
    </row>
    <row r="149" spans="1:3" s="389" customFormat="1">
      <c r="A149" s="577">
        <v>2</v>
      </c>
      <c r="B149" s="928" t="s">
        <v>690</v>
      </c>
      <c r="C149" s="929"/>
    </row>
    <row r="150" spans="1:3" s="389" customFormat="1">
      <c r="A150" s="577">
        <v>3</v>
      </c>
      <c r="B150" s="928" t="s">
        <v>687</v>
      </c>
      <c r="C150" s="929"/>
    </row>
    <row r="151" spans="1:3" s="389" customFormat="1">
      <c r="A151" s="578"/>
      <c r="B151" s="926" t="s">
        <v>640</v>
      </c>
      <c r="C151" s="927"/>
    </row>
    <row r="152" spans="1:3" s="389" customFormat="1">
      <c r="A152" s="577">
        <v>1</v>
      </c>
      <c r="B152" s="931" t="s">
        <v>941</v>
      </c>
      <c r="C152" s="934"/>
    </row>
    <row r="153" spans="1:3" s="389" customFormat="1">
      <c r="A153" s="577">
        <v>2</v>
      </c>
      <c r="B153" s="572" t="s">
        <v>873</v>
      </c>
      <c r="C153" s="597" t="s">
        <v>926</v>
      </c>
    </row>
    <row r="154" spans="1:3" ht="24">
      <c r="A154" s="577">
        <v>3</v>
      </c>
      <c r="B154" s="572" t="s">
        <v>872</v>
      </c>
      <c r="C154" s="597" t="s">
        <v>940</v>
      </c>
    </row>
    <row r="155" spans="1:3">
      <c r="A155" s="577">
        <v>4</v>
      </c>
      <c r="B155" s="572" t="s">
        <v>515</v>
      </c>
      <c r="C155" s="572" t="s">
        <v>641</v>
      </c>
    </row>
    <row r="156" spans="1:3" ht="25.05" customHeight="1">
      <c r="A156" s="578"/>
      <c r="B156" s="926" t="s">
        <v>642</v>
      </c>
      <c r="C156" s="927"/>
    </row>
    <row r="157" spans="1:3" ht="24">
      <c r="A157" s="577"/>
      <c r="B157" s="572" t="s">
        <v>927</v>
      </c>
      <c r="C157" s="579" t="s">
        <v>939</v>
      </c>
    </row>
    <row r="158" spans="1:3">
      <c r="A158" s="578"/>
      <c r="B158" s="926" t="s">
        <v>643</v>
      </c>
      <c r="C158" s="927"/>
    </row>
    <row r="159" spans="1:3" ht="39" customHeight="1">
      <c r="A159" s="578"/>
      <c r="B159" s="928" t="s">
        <v>938</v>
      </c>
      <c r="C159" s="929"/>
    </row>
    <row r="160" spans="1:3">
      <c r="A160" s="578" t="s">
        <v>644</v>
      </c>
      <c r="B160" s="598" t="s">
        <v>553</v>
      </c>
      <c r="C160" s="590" t="s">
        <v>645</v>
      </c>
    </row>
    <row r="161" spans="1:3">
      <c r="A161" s="578" t="s">
        <v>373</v>
      </c>
      <c r="B161" s="595" t="s">
        <v>554</v>
      </c>
      <c r="C161" s="597" t="s">
        <v>937</v>
      </c>
    </row>
    <row r="162" spans="1:3" ht="24">
      <c r="A162" s="578" t="s">
        <v>380</v>
      </c>
      <c r="B162" s="590" t="s">
        <v>555</v>
      </c>
      <c r="C162" s="597" t="s">
        <v>646</v>
      </c>
    </row>
    <row r="163" spans="1:3">
      <c r="A163" s="578" t="s">
        <v>647</v>
      </c>
      <c r="B163" s="595" t="s">
        <v>556</v>
      </c>
      <c r="C163" s="596" t="s">
        <v>648</v>
      </c>
    </row>
    <row r="164" spans="1:3" ht="24">
      <c r="A164" s="578" t="s">
        <v>649</v>
      </c>
      <c r="B164" s="595" t="s">
        <v>888</v>
      </c>
      <c r="C164" s="589" t="s">
        <v>936</v>
      </c>
    </row>
    <row r="165" spans="1:3" ht="24">
      <c r="A165" s="578" t="s">
        <v>381</v>
      </c>
      <c r="B165" s="595" t="s">
        <v>557</v>
      </c>
      <c r="C165" s="589" t="s">
        <v>651</v>
      </c>
    </row>
    <row r="166" spans="1:3" ht="24">
      <c r="A166" s="578" t="s">
        <v>650</v>
      </c>
      <c r="B166" s="593" t="s">
        <v>560</v>
      </c>
      <c r="C166" s="594" t="s">
        <v>658</v>
      </c>
    </row>
    <row r="167" spans="1:3" ht="24">
      <c r="A167" s="578" t="s">
        <v>652</v>
      </c>
      <c r="B167" s="593" t="s">
        <v>558</v>
      </c>
      <c r="C167" s="589" t="s">
        <v>654</v>
      </c>
    </row>
    <row r="168" spans="1:3" ht="26.55" customHeight="1">
      <c r="A168" s="578" t="s">
        <v>653</v>
      </c>
      <c r="B168" s="593" t="s">
        <v>559</v>
      </c>
      <c r="C168" s="594" t="s">
        <v>656</v>
      </c>
    </row>
    <row r="169" spans="1:3" ht="24">
      <c r="A169" s="578" t="s">
        <v>655</v>
      </c>
      <c r="B169" s="573" t="s">
        <v>561</v>
      </c>
      <c r="C169" s="594" t="s">
        <v>660</v>
      </c>
    </row>
    <row r="170" spans="1:3" ht="24">
      <c r="A170" s="578" t="s">
        <v>657</v>
      </c>
      <c r="B170" s="593" t="s">
        <v>562</v>
      </c>
      <c r="C170" s="592" t="s">
        <v>661</v>
      </c>
    </row>
    <row r="171" spans="1:3">
      <c r="A171" s="578" t="s">
        <v>659</v>
      </c>
      <c r="B171" s="591" t="s">
        <v>563</v>
      </c>
      <c r="C171" s="590" t="s">
        <v>662</v>
      </c>
    </row>
    <row r="172" spans="1:3" ht="24">
      <c r="A172" s="578"/>
      <c r="B172" s="589" t="s">
        <v>935</v>
      </c>
      <c r="C172" s="573" t="s">
        <v>663</v>
      </c>
    </row>
    <row r="173" spans="1:3" ht="24">
      <c r="A173" s="578"/>
      <c r="B173" s="589" t="s">
        <v>934</v>
      </c>
      <c r="C173" s="573" t="s">
        <v>664</v>
      </c>
    </row>
    <row r="174" spans="1:3" ht="24">
      <c r="A174" s="578"/>
      <c r="B174" s="589" t="s">
        <v>933</v>
      </c>
      <c r="C174" s="573" t="s">
        <v>665</v>
      </c>
    </row>
    <row r="175" spans="1:3">
      <c r="A175" s="578"/>
      <c r="B175" s="926" t="s">
        <v>666</v>
      </c>
      <c r="C175" s="927"/>
    </row>
    <row r="176" spans="1:3">
      <c r="A176" s="578"/>
      <c r="B176" s="928" t="s">
        <v>932</v>
      </c>
      <c r="C176" s="929"/>
    </row>
    <row r="177" spans="1:3">
      <c r="A177" s="577">
        <v>1</v>
      </c>
      <c r="B177" s="573" t="s">
        <v>567</v>
      </c>
      <c r="C177" s="573" t="s">
        <v>567</v>
      </c>
    </row>
    <row r="178" spans="1:3" ht="24">
      <c r="A178" s="577">
        <v>2</v>
      </c>
      <c r="B178" s="573" t="s">
        <v>667</v>
      </c>
      <c r="C178" s="573" t="s">
        <v>668</v>
      </c>
    </row>
    <row r="179" spans="1:3">
      <c r="A179" s="577">
        <v>3</v>
      </c>
      <c r="B179" s="573" t="s">
        <v>569</v>
      </c>
      <c r="C179" s="573" t="s">
        <v>669</v>
      </c>
    </row>
    <row r="180" spans="1:3" ht="24">
      <c r="A180" s="577">
        <v>4</v>
      </c>
      <c r="B180" s="573" t="s">
        <v>570</v>
      </c>
      <c r="C180" s="573" t="s">
        <v>670</v>
      </c>
    </row>
    <row r="181" spans="1:3" ht="24">
      <c r="A181" s="577">
        <v>5</v>
      </c>
      <c r="B181" s="573" t="s">
        <v>571</v>
      </c>
      <c r="C181" s="573" t="s">
        <v>692</v>
      </c>
    </row>
    <row r="182" spans="1:3" ht="48">
      <c r="A182" s="577">
        <v>6</v>
      </c>
      <c r="B182" s="573" t="s">
        <v>572</v>
      </c>
      <c r="C182" s="573" t="s">
        <v>671</v>
      </c>
    </row>
    <row r="183" spans="1:3">
      <c r="A183" s="578"/>
      <c r="B183" s="926" t="s">
        <v>672</v>
      </c>
      <c r="C183" s="927"/>
    </row>
    <row r="184" spans="1:3">
      <c r="A184" s="578"/>
      <c r="B184" s="930" t="s">
        <v>931</v>
      </c>
      <c r="C184" s="931"/>
    </row>
    <row r="185" spans="1:3" ht="24">
      <c r="A185" s="578">
        <v>1.1000000000000001</v>
      </c>
      <c r="B185" s="588" t="s">
        <v>577</v>
      </c>
      <c r="C185" s="573" t="s">
        <v>673</v>
      </c>
    </row>
    <row r="186" spans="1:3" ht="49.95" customHeight="1">
      <c r="A186" s="578" t="s">
        <v>161</v>
      </c>
      <c r="B186" s="574" t="s">
        <v>578</v>
      </c>
      <c r="C186" s="573" t="s">
        <v>674</v>
      </c>
    </row>
    <row r="187" spans="1:3">
      <c r="A187" s="578" t="s">
        <v>579</v>
      </c>
      <c r="B187" s="587" t="s">
        <v>580</v>
      </c>
      <c r="C187" s="932" t="s">
        <v>930</v>
      </c>
    </row>
    <row r="188" spans="1:3">
      <c r="A188" s="578" t="s">
        <v>581</v>
      </c>
      <c r="B188" s="587" t="s">
        <v>582</v>
      </c>
      <c r="C188" s="932"/>
    </row>
    <row r="189" spans="1:3">
      <c r="A189" s="578" t="s">
        <v>583</v>
      </c>
      <c r="B189" s="587" t="s">
        <v>584</v>
      </c>
      <c r="C189" s="932"/>
    </row>
    <row r="190" spans="1:3">
      <c r="A190" s="578" t="s">
        <v>585</v>
      </c>
      <c r="B190" s="587" t="s">
        <v>586</v>
      </c>
      <c r="C190" s="932"/>
    </row>
    <row r="191" spans="1:3">
      <c r="A191" s="578">
        <v>1.2</v>
      </c>
      <c r="B191" s="586" t="s">
        <v>902</v>
      </c>
      <c r="C191" s="572" t="s">
        <v>929</v>
      </c>
    </row>
    <row r="192" spans="1:3" ht="24">
      <c r="A192" s="578" t="s">
        <v>588</v>
      </c>
      <c r="B192" s="581" t="s">
        <v>589</v>
      </c>
      <c r="C192" s="584" t="s">
        <v>675</v>
      </c>
    </row>
    <row r="193" spans="1:4" ht="24">
      <c r="A193" s="578" t="s">
        <v>590</v>
      </c>
      <c r="B193" s="585" t="s">
        <v>591</v>
      </c>
      <c r="C193" s="584" t="s">
        <v>676</v>
      </c>
    </row>
    <row r="194" spans="1:4" ht="25.95" customHeight="1">
      <c r="A194" s="578" t="s">
        <v>592</v>
      </c>
      <c r="B194" s="583" t="s">
        <v>593</v>
      </c>
      <c r="C194" s="572" t="s">
        <v>677</v>
      </c>
    </row>
    <row r="195" spans="1:4" ht="24">
      <c r="A195" s="578" t="s">
        <v>594</v>
      </c>
      <c r="B195" s="582" t="s">
        <v>595</v>
      </c>
      <c r="C195" s="572" t="s">
        <v>678</v>
      </c>
      <c r="D195" s="390"/>
    </row>
    <row r="196" spans="1:4" ht="12.6">
      <c r="A196" s="578">
        <v>1.4</v>
      </c>
      <c r="B196" s="581" t="s">
        <v>685</v>
      </c>
      <c r="C196" s="580" t="s">
        <v>679</v>
      </c>
      <c r="D196" s="391"/>
    </row>
    <row r="197" spans="1:4" ht="12.6">
      <c r="A197" s="578">
        <v>1.5</v>
      </c>
      <c r="B197" s="581" t="s">
        <v>686</v>
      </c>
      <c r="C197" s="580" t="s">
        <v>679</v>
      </c>
      <c r="D197" s="392"/>
    </row>
    <row r="198" spans="1:4" ht="12.6">
      <c r="A198" s="578"/>
      <c r="B198" s="918" t="s">
        <v>680</v>
      </c>
      <c r="C198" s="918"/>
      <c r="D198" s="392"/>
    </row>
    <row r="199" spans="1:4" ht="12.6">
      <c r="A199" s="578"/>
      <c r="B199" s="930" t="s">
        <v>928</v>
      </c>
      <c r="C199" s="930"/>
      <c r="D199" s="392"/>
    </row>
    <row r="200" spans="1:4" ht="12.6">
      <c r="A200" s="577"/>
      <c r="B200" s="572" t="s">
        <v>927</v>
      </c>
      <c r="C200" s="579" t="s">
        <v>926</v>
      </c>
      <c r="D200" s="392"/>
    </row>
    <row r="201" spans="1:4" ht="12.6">
      <c r="A201" s="578"/>
      <c r="B201" s="918" t="s">
        <v>681</v>
      </c>
      <c r="C201" s="918"/>
      <c r="D201" s="393"/>
    </row>
    <row r="202" spans="1:4" ht="12.6">
      <c r="A202" s="577"/>
      <c r="B202" s="930" t="s">
        <v>925</v>
      </c>
      <c r="C202" s="930"/>
      <c r="D202" s="394"/>
    </row>
    <row r="203" spans="1:4" ht="12.6">
      <c r="B203" s="918" t="s">
        <v>719</v>
      </c>
      <c r="C203" s="918"/>
      <c r="D203" s="395"/>
    </row>
    <row r="204" spans="1:4" ht="24">
      <c r="A204" s="574">
        <v>1</v>
      </c>
      <c r="B204" s="572" t="s">
        <v>695</v>
      </c>
      <c r="C204" s="572" t="s">
        <v>707</v>
      </c>
      <c r="D204" s="394"/>
    </row>
    <row r="205" spans="1:4" ht="18" customHeight="1">
      <c r="A205" s="574">
        <v>2</v>
      </c>
      <c r="B205" s="572" t="s">
        <v>696</v>
      </c>
      <c r="C205" s="572" t="s">
        <v>708</v>
      </c>
      <c r="D205" s="395"/>
    </row>
    <row r="206" spans="1:4" ht="24">
      <c r="A206" s="574">
        <v>3</v>
      </c>
      <c r="B206" s="572" t="s">
        <v>697</v>
      </c>
      <c r="C206" s="572" t="s">
        <v>709</v>
      </c>
      <c r="D206" s="396"/>
    </row>
    <row r="207" spans="1:4" ht="12.6">
      <c r="A207" s="574">
        <v>4</v>
      </c>
      <c r="B207" s="572" t="s">
        <v>698</v>
      </c>
      <c r="C207" s="572" t="s">
        <v>710</v>
      </c>
      <c r="D207" s="396"/>
    </row>
    <row r="208" spans="1:4" ht="24">
      <c r="A208" s="574">
        <v>5</v>
      </c>
      <c r="B208" s="572" t="s">
        <v>699</v>
      </c>
      <c r="C208" s="572" t="s">
        <v>711</v>
      </c>
    </row>
    <row r="209" spans="1:3" ht="24.45" customHeight="1">
      <c r="A209" s="574">
        <v>6</v>
      </c>
      <c r="B209" s="572" t="s">
        <v>700</v>
      </c>
      <c r="C209" s="572" t="s">
        <v>712</v>
      </c>
    </row>
    <row r="210" spans="1:3" ht="24">
      <c r="A210" s="574">
        <v>7</v>
      </c>
      <c r="B210" s="572" t="s">
        <v>701</v>
      </c>
      <c r="C210" s="572" t="s">
        <v>713</v>
      </c>
    </row>
    <row r="211" spans="1:3">
      <c r="A211" s="574">
        <v>7.1</v>
      </c>
      <c r="B211" s="576" t="s">
        <v>702</v>
      </c>
      <c r="C211" s="572" t="s">
        <v>714</v>
      </c>
    </row>
    <row r="212" spans="1:3">
      <c r="A212" s="574">
        <v>7.2</v>
      </c>
      <c r="B212" s="576" t="s">
        <v>703</v>
      </c>
      <c r="C212" s="572" t="s">
        <v>715</v>
      </c>
    </row>
    <row r="213" spans="1:3">
      <c r="A213" s="574">
        <v>7.3</v>
      </c>
      <c r="B213" s="575" t="s">
        <v>704</v>
      </c>
      <c r="C213" s="572" t="s">
        <v>716</v>
      </c>
    </row>
    <row r="214" spans="1:3" ht="39.450000000000003" customHeight="1">
      <c r="A214" s="574">
        <v>8</v>
      </c>
      <c r="B214" s="572" t="s">
        <v>705</v>
      </c>
      <c r="C214" s="572" t="s">
        <v>717</v>
      </c>
    </row>
    <row r="215" spans="1:3">
      <c r="A215" s="574">
        <v>9</v>
      </c>
      <c r="B215" s="572" t="s">
        <v>706</v>
      </c>
      <c r="C215" s="572" t="s">
        <v>718</v>
      </c>
    </row>
    <row r="216" spans="1:3" ht="24">
      <c r="A216" s="612">
        <v>10.1</v>
      </c>
      <c r="B216" s="613" t="s">
        <v>728</v>
      </c>
      <c r="C216" s="605" t="s">
        <v>729</v>
      </c>
    </row>
    <row r="217" spans="1:3">
      <c r="A217" s="933"/>
      <c r="B217" s="614" t="s">
        <v>916</v>
      </c>
      <c r="C217" s="572" t="s">
        <v>924</v>
      </c>
    </row>
    <row r="218" spans="1:3">
      <c r="A218" s="933"/>
      <c r="B218" s="573" t="s">
        <v>576</v>
      </c>
      <c r="C218" s="572" t="s">
        <v>923</v>
      </c>
    </row>
    <row r="219" spans="1:3">
      <c r="A219" s="933"/>
      <c r="B219" s="573" t="s">
        <v>915</v>
      </c>
      <c r="C219" s="572" t="s">
        <v>922</v>
      </c>
    </row>
    <row r="220" spans="1:3">
      <c r="A220" s="933"/>
      <c r="B220" s="573" t="s">
        <v>720</v>
      </c>
      <c r="C220" s="572" t="s">
        <v>921</v>
      </c>
    </row>
    <row r="221" spans="1:3" ht="24">
      <c r="A221" s="933"/>
      <c r="B221" s="573" t="s">
        <v>725</v>
      </c>
      <c r="C221" s="573" t="s">
        <v>920</v>
      </c>
    </row>
    <row r="222" spans="1:3" ht="36">
      <c r="A222" s="933"/>
      <c r="B222" s="573" t="s">
        <v>724</v>
      </c>
      <c r="C222" s="572" t="s">
        <v>919</v>
      </c>
    </row>
    <row r="223" spans="1:3">
      <c r="A223" s="933"/>
      <c r="B223" s="573" t="s">
        <v>727</v>
      </c>
      <c r="C223" s="572" t="s">
        <v>918</v>
      </c>
    </row>
    <row r="224" spans="1:3" ht="24">
      <c r="A224" s="933"/>
      <c r="B224" s="573" t="s">
        <v>721</v>
      </c>
      <c r="C224" s="572" t="s">
        <v>917</v>
      </c>
    </row>
    <row r="225" spans="1:3" ht="12.6">
      <c r="A225" s="606"/>
      <c r="B225" s="607"/>
      <c r="C225" s="608"/>
    </row>
    <row r="226" spans="1:3" ht="12.6">
      <c r="A226" s="606"/>
      <c r="B226" s="608"/>
      <c r="C226" s="608"/>
    </row>
    <row r="227" spans="1:3" ht="12.6">
      <c r="A227" s="606"/>
      <c r="B227" s="608"/>
      <c r="C227" s="608"/>
    </row>
    <row r="228" spans="1:3" ht="12.6">
      <c r="A228" s="606"/>
      <c r="B228" s="609"/>
      <c r="C228" s="608"/>
    </row>
    <row r="229" spans="1:3">
      <c r="A229" s="925"/>
      <c r="B229" s="610"/>
      <c r="C229" s="608"/>
    </row>
    <row r="230" spans="1:3">
      <c r="A230" s="925"/>
      <c r="B230" s="610"/>
      <c r="C230" s="608"/>
    </row>
    <row r="231" spans="1:3">
      <c r="A231" s="925"/>
      <c r="B231" s="610"/>
      <c r="C231" s="608"/>
    </row>
    <row r="232" spans="1:3">
      <c r="A232" s="925"/>
      <c r="B232" s="610"/>
      <c r="C232" s="611"/>
    </row>
    <row r="233" spans="1:3" ht="40.5" customHeight="1">
      <c r="A233" s="925"/>
      <c r="B233" s="610"/>
      <c r="C233" s="608"/>
    </row>
    <row r="234" spans="1:3" ht="24" customHeight="1">
      <c r="A234" s="925"/>
      <c r="B234" s="610"/>
      <c r="C234" s="608"/>
    </row>
    <row r="235" spans="1:3">
      <c r="A235" s="925"/>
      <c r="B235" s="610"/>
      <c r="C235" s="608"/>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47"/>
  <sheetViews>
    <sheetView zoomScale="80" zoomScaleNormal="80" workbookViewId="0">
      <selection activeCell="D53" sqref="D53"/>
    </sheetView>
  </sheetViews>
  <sheetFormatPr defaultRowHeight="14.4"/>
  <cols>
    <col min="2" max="2" width="66.6640625" customWidth="1"/>
    <col min="3" max="8" width="17.77734375" customWidth="1"/>
  </cols>
  <sheetData>
    <row r="1" spans="1:9">
      <c r="A1" s="13" t="s">
        <v>111</v>
      </c>
      <c r="B1" s="307" t="str">
        <f>Info!C2</f>
        <v>სს "კრედო ბანკი"</v>
      </c>
      <c r="C1" s="12"/>
      <c r="D1" s="1"/>
      <c r="E1" s="1"/>
      <c r="F1" s="1"/>
      <c r="G1" s="1"/>
    </row>
    <row r="2" spans="1:9">
      <c r="A2" s="13" t="s">
        <v>112</v>
      </c>
      <c r="B2" s="338">
        <f>'1. key ratios'!B2</f>
        <v>45382</v>
      </c>
      <c r="C2" s="12"/>
      <c r="D2" s="1"/>
      <c r="E2" s="1"/>
      <c r="F2" s="1"/>
      <c r="G2" s="1"/>
    </row>
    <row r="3" spans="1:9">
      <c r="A3" s="13"/>
      <c r="B3" s="12"/>
      <c r="C3" s="12"/>
      <c r="D3" s="1"/>
      <c r="E3" s="1"/>
      <c r="F3" s="1"/>
      <c r="G3" s="1"/>
    </row>
    <row r="4" spans="1:9">
      <c r="A4" s="779" t="s">
        <v>27</v>
      </c>
      <c r="B4" s="777" t="s">
        <v>170</v>
      </c>
      <c r="C4" s="775" t="s">
        <v>117</v>
      </c>
      <c r="D4" s="775"/>
      <c r="E4" s="775"/>
      <c r="F4" s="775" t="s">
        <v>118</v>
      </c>
      <c r="G4" s="775"/>
      <c r="H4" s="776"/>
    </row>
    <row r="5" spans="1:9" ht="15.45" customHeight="1">
      <c r="A5" s="780"/>
      <c r="B5" s="778"/>
      <c r="C5" s="430" t="s">
        <v>28</v>
      </c>
      <c r="D5" s="430" t="s">
        <v>91</v>
      </c>
      <c r="E5" s="430" t="s">
        <v>68</v>
      </c>
      <c r="F5" s="430" t="s">
        <v>28</v>
      </c>
      <c r="G5" s="430" t="s">
        <v>91</v>
      </c>
      <c r="H5" s="430" t="s">
        <v>68</v>
      </c>
    </row>
    <row r="6" spans="1:9">
      <c r="A6" s="459">
        <v>1</v>
      </c>
      <c r="B6" s="431" t="s">
        <v>783</v>
      </c>
      <c r="C6" s="645">
        <f>SUM(C7:C12)</f>
        <v>115354346.16000593</v>
      </c>
      <c r="D6" s="645">
        <f>SUM(D7:D12)</f>
        <v>5396954.1899999976</v>
      </c>
      <c r="E6" s="641">
        <f>C6+D6</f>
        <v>120751300.35000592</v>
      </c>
      <c r="F6" s="635">
        <f>SUM(F7:F12)</f>
        <v>104778423</v>
      </c>
      <c r="G6" s="635">
        <f>SUM(G7:G12)</f>
        <v>4081289.7800000161</v>
      </c>
      <c r="H6" s="641">
        <f>F6+G6</f>
        <v>108859712.78000002</v>
      </c>
      <c r="I6" s="642"/>
    </row>
    <row r="7" spans="1:9">
      <c r="A7" s="459">
        <v>1.1000000000000001</v>
      </c>
      <c r="B7" s="432" t="s">
        <v>737</v>
      </c>
      <c r="C7" s="645"/>
      <c r="D7" s="645"/>
      <c r="E7" s="641">
        <f t="shared" ref="E7:E45" si="0">C7+D7</f>
        <v>0</v>
      </c>
      <c r="F7" s="635"/>
      <c r="G7" s="635"/>
      <c r="H7" s="641">
        <f t="shared" ref="H7:H45" si="1">F7+G7</f>
        <v>0</v>
      </c>
      <c r="I7" s="642"/>
    </row>
    <row r="8" spans="1:9" ht="20.399999999999999">
      <c r="A8" s="459">
        <v>1.2</v>
      </c>
      <c r="B8" s="432" t="s">
        <v>784</v>
      </c>
      <c r="C8" s="645"/>
      <c r="D8" s="645"/>
      <c r="E8" s="641">
        <f t="shared" si="0"/>
        <v>0</v>
      </c>
      <c r="F8" s="635"/>
      <c r="G8" s="635"/>
      <c r="H8" s="641">
        <f t="shared" si="1"/>
        <v>0</v>
      </c>
      <c r="I8" s="642"/>
    </row>
    <row r="9" spans="1:9" ht="21.45" customHeight="1">
      <c r="A9" s="459">
        <v>1.3</v>
      </c>
      <c r="B9" s="422" t="s">
        <v>785</v>
      </c>
      <c r="C9" s="645"/>
      <c r="D9" s="645"/>
      <c r="E9" s="641">
        <f t="shared" si="0"/>
        <v>0</v>
      </c>
      <c r="F9" s="635"/>
      <c r="G9" s="635"/>
      <c r="H9" s="641">
        <f t="shared" si="1"/>
        <v>0</v>
      </c>
      <c r="I9" s="642"/>
    </row>
    <row r="10" spans="1:9" ht="20.399999999999999">
      <c r="A10" s="459">
        <v>1.4</v>
      </c>
      <c r="B10" s="422" t="s">
        <v>741</v>
      </c>
      <c r="C10" s="645"/>
      <c r="D10" s="645"/>
      <c r="E10" s="641">
        <f t="shared" si="0"/>
        <v>0</v>
      </c>
      <c r="F10" s="635"/>
      <c r="G10" s="635"/>
      <c r="H10" s="641">
        <f t="shared" si="1"/>
        <v>0</v>
      </c>
      <c r="I10" s="642"/>
    </row>
    <row r="11" spans="1:9">
      <c r="A11" s="459">
        <v>1.5</v>
      </c>
      <c r="B11" s="422" t="s">
        <v>744</v>
      </c>
      <c r="C11" s="645">
        <v>115354346.16000593</v>
      </c>
      <c r="D11" s="645">
        <v>5396954.1899999976</v>
      </c>
      <c r="E11" s="641">
        <f t="shared" si="0"/>
        <v>120751300.35000592</v>
      </c>
      <c r="F11" s="635">
        <v>104778423</v>
      </c>
      <c r="G11" s="635">
        <v>4081289.7800000161</v>
      </c>
      <c r="H11" s="641">
        <f t="shared" si="1"/>
        <v>108859712.78000002</v>
      </c>
      <c r="I11" s="642"/>
    </row>
    <row r="12" spans="1:9">
      <c r="A12" s="459">
        <v>1.6</v>
      </c>
      <c r="B12" s="423" t="s">
        <v>102</v>
      </c>
      <c r="C12" s="645"/>
      <c r="D12" s="645"/>
      <c r="E12" s="641">
        <f t="shared" si="0"/>
        <v>0</v>
      </c>
      <c r="F12" s="635"/>
      <c r="G12" s="635"/>
      <c r="H12" s="641">
        <f t="shared" si="1"/>
        <v>0</v>
      </c>
      <c r="I12" s="642"/>
    </row>
    <row r="13" spans="1:9">
      <c r="A13" s="459">
        <v>2</v>
      </c>
      <c r="B13" s="433" t="s">
        <v>786</v>
      </c>
      <c r="C13" s="645">
        <f>SUM(C14:C17)</f>
        <v>-47054423.270000003</v>
      </c>
      <c r="D13" s="645">
        <f>SUM(D14:D17)</f>
        <v>-5114243.7400000021</v>
      </c>
      <c r="E13" s="641">
        <f t="shared" si="0"/>
        <v>-52168667.010000005</v>
      </c>
      <c r="F13" s="635">
        <f>SUM(F14:F17)</f>
        <v>-44703540</v>
      </c>
      <c r="G13" s="635">
        <f>SUM(G14:G17)</f>
        <v>-4354402.4200000018</v>
      </c>
      <c r="H13" s="641">
        <f t="shared" si="1"/>
        <v>-49057942.420000002</v>
      </c>
      <c r="I13" s="642"/>
    </row>
    <row r="14" spans="1:9">
      <c r="A14" s="459">
        <v>2.1</v>
      </c>
      <c r="B14" s="422" t="s">
        <v>787</v>
      </c>
      <c r="C14" s="645"/>
      <c r="D14" s="645"/>
      <c r="E14" s="641">
        <f t="shared" si="0"/>
        <v>0</v>
      </c>
      <c r="F14" s="635"/>
      <c r="G14" s="635"/>
      <c r="H14" s="641">
        <f t="shared" si="1"/>
        <v>0</v>
      </c>
      <c r="I14" s="642"/>
    </row>
    <row r="15" spans="1:9" ht="24.45" customHeight="1">
      <c r="A15" s="459">
        <v>2.2000000000000002</v>
      </c>
      <c r="B15" s="422" t="s">
        <v>788</v>
      </c>
      <c r="C15" s="645"/>
      <c r="D15" s="645"/>
      <c r="E15" s="641">
        <f t="shared" si="0"/>
        <v>0</v>
      </c>
      <c r="F15" s="635"/>
      <c r="G15" s="635"/>
      <c r="H15" s="641">
        <f t="shared" si="1"/>
        <v>0</v>
      </c>
      <c r="I15" s="642"/>
    </row>
    <row r="16" spans="1:9" ht="20.55" customHeight="1">
      <c r="A16" s="459">
        <v>2.2999999999999998</v>
      </c>
      <c r="B16" s="422" t="s">
        <v>789</v>
      </c>
      <c r="C16" s="645">
        <v>-47054423.270000003</v>
      </c>
      <c r="D16" s="645">
        <v>-5114243.7400000021</v>
      </c>
      <c r="E16" s="641">
        <f t="shared" si="0"/>
        <v>-52168667.010000005</v>
      </c>
      <c r="F16" s="635">
        <v>-44703540</v>
      </c>
      <c r="G16" s="635">
        <v>-4354402.4200000018</v>
      </c>
      <c r="H16" s="641">
        <f t="shared" si="1"/>
        <v>-49057942.420000002</v>
      </c>
      <c r="I16" s="642"/>
    </row>
    <row r="17" spans="1:9">
      <c r="A17" s="459">
        <v>2.4</v>
      </c>
      <c r="B17" s="422" t="s">
        <v>790</v>
      </c>
      <c r="C17" s="645"/>
      <c r="D17" s="645"/>
      <c r="E17" s="641">
        <f t="shared" si="0"/>
        <v>0</v>
      </c>
      <c r="F17" s="635"/>
      <c r="G17" s="635"/>
      <c r="H17" s="641">
        <f t="shared" si="1"/>
        <v>0</v>
      </c>
      <c r="I17" s="642"/>
    </row>
    <row r="18" spans="1:9">
      <c r="A18" s="459">
        <v>3</v>
      </c>
      <c r="B18" s="433" t="s">
        <v>791</v>
      </c>
      <c r="C18" s="645"/>
      <c r="D18" s="645"/>
      <c r="E18" s="641">
        <f t="shared" si="0"/>
        <v>0</v>
      </c>
      <c r="F18" s="635"/>
      <c r="G18" s="635"/>
      <c r="H18" s="641">
        <f t="shared" si="1"/>
        <v>0</v>
      </c>
      <c r="I18" s="642"/>
    </row>
    <row r="19" spans="1:9">
      <c r="A19" s="459">
        <v>4</v>
      </c>
      <c r="B19" s="433" t="s">
        <v>792</v>
      </c>
      <c r="C19" s="645">
        <v>12538492.689999994</v>
      </c>
      <c r="D19" s="645">
        <v>2205005.379999999</v>
      </c>
      <c r="E19" s="641">
        <f t="shared" si="0"/>
        <v>14743498.069999993</v>
      </c>
      <c r="F19" s="635">
        <v>11306285.6</v>
      </c>
      <c r="G19" s="635">
        <v>1369061.589999998</v>
      </c>
      <c r="H19" s="641">
        <f t="shared" si="1"/>
        <v>12675347.189999998</v>
      </c>
      <c r="I19" s="642"/>
    </row>
    <row r="20" spans="1:9">
      <c r="A20" s="459">
        <v>5</v>
      </c>
      <c r="B20" s="433" t="s">
        <v>793</v>
      </c>
      <c r="C20" s="645">
        <v>-4222117.46</v>
      </c>
      <c r="D20" s="645">
        <v>-1529391.0699999994</v>
      </c>
      <c r="E20" s="641">
        <f t="shared" si="0"/>
        <v>-5751508.5299999993</v>
      </c>
      <c r="F20" s="635">
        <v>-3844810.9199999995</v>
      </c>
      <c r="G20" s="635">
        <v>-1761646.4</v>
      </c>
      <c r="H20" s="641">
        <f t="shared" si="1"/>
        <v>-5606457.3199999994</v>
      </c>
      <c r="I20" s="642"/>
    </row>
    <row r="21" spans="1:9" ht="38.549999999999997" customHeight="1">
      <c r="A21" s="459">
        <v>6</v>
      </c>
      <c r="B21" s="433" t="s">
        <v>794</v>
      </c>
      <c r="C21" s="645"/>
      <c r="D21" s="645"/>
      <c r="E21" s="641">
        <f t="shared" si="0"/>
        <v>0</v>
      </c>
      <c r="F21" s="635"/>
      <c r="G21" s="635"/>
      <c r="H21" s="641">
        <f t="shared" si="1"/>
        <v>0</v>
      </c>
      <c r="I21" s="642"/>
    </row>
    <row r="22" spans="1:9" ht="27.45" customHeight="1">
      <c r="A22" s="459">
        <v>7</v>
      </c>
      <c r="B22" s="433" t="s">
        <v>795</v>
      </c>
      <c r="C22" s="645"/>
      <c r="D22" s="645"/>
      <c r="E22" s="641">
        <f t="shared" si="0"/>
        <v>0</v>
      </c>
      <c r="F22" s="635"/>
      <c r="G22" s="635"/>
      <c r="H22" s="641">
        <f t="shared" si="1"/>
        <v>0</v>
      </c>
      <c r="I22" s="642"/>
    </row>
    <row r="23" spans="1:9" ht="37.049999999999997" customHeight="1">
      <c r="A23" s="459">
        <v>8</v>
      </c>
      <c r="B23" s="434" t="s">
        <v>796</v>
      </c>
      <c r="C23" s="645"/>
      <c r="D23" s="645"/>
      <c r="E23" s="641">
        <f t="shared" si="0"/>
        <v>0</v>
      </c>
      <c r="F23" s="635"/>
      <c r="G23" s="635"/>
      <c r="H23" s="641">
        <f t="shared" si="1"/>
        <v>0</v>
      </c>
      <c r="I23" s="642"/>
    </row>
    <row r="24" spans="1:9" ht="34.5" customHeight="1">
      <c r="A24" s="459">
        <v>9</v>
      </c>
      <c r="B24" s="434" t="s">
        <v>797</v>
      </c>
      <c r="C24" s="645">
        <v>-6679348.8200000003</v>
      </c>
      <c r="D24" s="645"/>
      <c r="E24" s="641">
        <f t="shared" si="0"/>
        <v>-6679348.8200000003</v>
      </c>
      <c r="F24" s="635">
        <v>-11533822.619999999</v>
      </c>
      <c r="G24" s="635"/>
      <c r="H24" s="641">
        <f t="shared" si="1"/>
        <v>-11533822.619999999</v>
      </c>
      <c r="I24" s="642"/>
    </row>
    <row r="25" spans="1:9">
      <c r="A25" s="459">
        <v>10</v>
      </c>
      <c r="B25" s="433" t="s">
        <v>798</v>
      </c>
      <c r="C25" s="645">
        <v>3154759.4800000284</v>
      </c>
      <c r="D25" s="645"/>
      <c r="E25" s="641">
        <f t="shared" si="0"/>
        <v>3154759.4800000284</v>
      </c>
      <c r="F25" s="635">
        <v>7193817.8699999545</v>
      </c>
      <c r="G25" s="635"/>
      <c r="H25" s="641">
        <f t="shared" si="1"/>
        <v>7193817.8699999545</v>
      </c>
      <c r="I25" s="642"/>
    </row>
    <row r="26" spans="1:9" ht="27" customHeight="1">
      <c r="A26" s="459">
        <v>11</v>
      </c>
      <c r="B26" s="435" t="s">
        <v>799</v>
      </c>
      <c r="C26" s="645">
        <v>29748.14999999998</v>
      </c>
      <c r="D26" s="645"/>
      <c r="E26" s="641">
        <f t="shared" si="0"/>
        <v>29748.14999999998</v>
      </c>
      <c r="F26" s="635">
        <v>60597.750000000007</v>
      </c>
      <c r="G26" s="635"/>
      <c r="H26" s="641">
        <f t="shared" si="1"/>
        <v>60597.750000000007</v>
      </c>
      <c r="I26" s="642"/>
    </row>
    <row r="27" spans="1:9">
      <c r="A27" s="459">
        <v>12</v>
      </c>
      <c r="B27" s="433" t="s">
        <v>800</v>
      </c>
      <c r="C27" s="645">
        <v>2004558.0799999998</v>
      </c>
      <c r="D27" s="645">
        <v>31390.130000000005</v>
      </c>
      <c r="E27" s="641">
        <f t="shared" si="0"/>
        <v>2035948.21</v>
      </c>
      <c r="F27" s="635">
        <v>1081556.1299999999</v>
      </c>
      <c r="G27" s="635"/>
      <c r="H27" s="641">
        <f t="shared" si="1"/>
        <v>1081556.1299999999</v>
      </c>
      <c r="I27" s="642"/>
    </row>
    <row r="28" spans="1:9">
      <c r="A28" s="459">
        <v>13</v>
      </c>
      <c r="B28" s="436" t="s">
        <v>801</v>
      </c>
      <c r="C28" s="645">
        <v>-6381602</v>
      </c>
      <c r="D28" s="645">
        <v>-47399</v>
      </c>
      <c r="E28" s="641">
        <f t="shared" si="0"/>
        <v>-6429001</v>
      </c>
      <c r="F28" s="635">
        <v>-5849317</v>
      </c>
      <c r="G28" s="635"/>
      <c r="H28" s="641">
        <f t="shared" si="1"/>
        <v>-5849317</v>
      </c>
      <c r="I28" s="642"/>
    </row>
    <row r="29" spans="1:9">
      <c r="A29" s="459">
        <v>14</v>
      </c>
      <c r="B29" s="437" t="s">
        <v>802</v>
      </c>
      <c r="C29" s="645">
        <f>SUM(C30:C31)</f>
        <v>-35318275.640000001</v>
      </c>
      <c r="D29" s="645">
        <f>SUM(D30:D31)</f>
        <v>-238664.86000000004</v>
      </c>
      <c r="E29" s="641">
        <f t="shared" si="0"/>
        <v>-35556940.5</v>
      </c>
      <c r="F29" s="635">
        <f>SUM(F30:F31)</f>
        <v>-33696357.349999987</v>
      </c>
      <c r="G29" s="635">
        <f>SUM(G30:G31)</f>
        <v>0</v>
      </c>
      <c r="H29" s="641">
        <f t="shared" si="1"/>
        <v>-33696357.349999987</v>
      </c>
      <c r="I29" s="642"/>
    </row>
    <row r="30" spans="1:9">
      <c r="A30" s="459">
        <v>14.1</v>
      </c>
      <c r="B30" s="412" t="s">
        <v>803</v>
      </c>
      <c r="C30" s="645">
        <v>-33898970.630000003</v>
      </c>
      <c r="D30" s="645">
        <v>-41939.94</v>
      </c>
      <c r="E30" s="641">
        <f t="shared" si="0"/>
        <v>-33940910.57</v>
      </c>
      <c r="F30" s="635">
        <v>-32510229.139999989</v>
      </c>
      <c r="G30" s="635"/>
      <c r="H30" s="641">
        <f t="shared" si="1"/>
        <v>-32510229.139999989</v>
      </c>
      <c r="I30" s="642"/>
    </row>
    <row r="31" spans="1:9">
      <c r="A31" s="459">
        <v>14.2</v>
      </c>
      <c r="B31" s="412" t="s">
        <v>804</v>
      </c>
      <c r="C31" s="645">
        <v>-1419305.0100000002</v>
      </c>
      <c r="D31" s="645">
        <v>-196724.92000000004</v>
      </c>
      <c r="E31" s="641">
        <f t="shared" si="0"/>
        <v>-1616029.9300000002</v>
      </c>
      <c r="F31" s="635">
        <v>-1186128.2100000002</v>
      </c>
      <c r="G31" s="635"/>
      <c r="H31" s="641">
        <f t="shared" si="1"/>
        <v>-1186128.2100000002</v>
      </c>
      <c r="I31" s="642"/>
    </row>
    <row r="32" spans="1:9">
      <c r="A32" s="459">
        <v>15</v>
      </c>
      <c r="B32" s="438" t="s">
        <v>805</v>
      </c>
      <c r="C32" s="645">
        <v>-5075023.99</v>
      </c>
      <c r="D32" s="645"/>
      <c r="E32" s="641">
        <f t="shared" si="0"/>
        <v>-5075023.99</v>
      </c>
      <c r="F32" s="635">
        <v>-4400805.92</v>
      </c>
      <c r="G32" s="635"/>
      <c r="H32" s="641">
        <f t="shared" si="1"/>
        <v>-4400805.92</v>
      </c>
      <c r="I32" s="642"/>
    </row>
    <row r="33" spans="1:9" ht="22.5" customHeight="1">
      <c r="A33" s="459">
        <v>16</v>
      </c>
      <c r="B33" s="408" t="s">
        <v>806</v>
      </c>
      <c r="C33" s="645"/>
      <c r="D33" s="645"/>
      <c r="E33" s="641">
        <f t="shared" si="0"/>
        <v>0</v>
      </c>
      <c r="F33" s="635"/>
      <c r="G33" s="635"/>
      <c r="H33" s="641">
        <f t="shared" si="1"/>
        <v>0</v>
      </c>
      <c r="I33" s="642"/>
    </row>
    <row r="34" spans="1:9">
      <c r="A34" s="459">
        <v>17</v>
      </c>
      <c r="B34" s="433" t="s">
        <v>807</v>
      </c>
      <c r="C34" s="645">
        <f>SUM(C35:C36)</f>
        <v>0</v>
      </c>
      <c r="D34" s="645">
        <f>SUM(D35:D36)</f>
        <v>0</v>
      </c>
      <c r="E34" s="641">
        <f t="shared" si="0"/>
        <v>0</v>
      </c>
      <c r="F34" s="635">
        <f>SUM(F35:F36)</f>
        <v>0</v>
      </c>
      <c r="G34" s="635">
        <f>SUM(G35:G36)</f>
        <v>0</v>
      </c>
      <c r="H34" s="641">
        <f t="shared" si="1"/>
        <v>0</v>
      </c>
      <c r="I34" s="642"/>
    </row>
    <row r="35" spans="1:9">
      <c r="A35" s="459">
        <v>17.100000000000001</v>
      </c>
      <c r="B35" s="439" t="s">
        <v>808</v>
      </c>
      <c r="C35" s="645"/>
      <c r="D35" s="645"/>
      <c r="E35" s="641">
        <f t="shared" si="0"/>
        <v>0</v>
      </c>
      <c r="F35" s="635"/>
      <c r="G35" s="635"/>
      <c r="H35" s="641">
        <f t="shared" si="1"/>
        <v>0</v>
      </c>
      <c r="I35" s="642"/>
    </row>
    <row r="36" spans="1:9">
      <c r="A36" s="459">
        <v>17.2</v>
      </c>
      <c r="B36" s="412" t="s">
        <v>809</v>
      </c>
      <c r="C36" s="645"/>
      <c r="D36" s="645"/>
      <c r="E36" s="641">
        <f t="shared" si="0"/>
        <v>0</v>
      </c>
      <c r="F36" s="635"/>
      <c r="G36" s="635"/>
      <c r="H36" s="641">
        <f t="shared" si="1"/>
        <v>0</v>
      </c>
      <c r="I36" s="642"/>
    </row>
    <row r="37" spans="1:9" ht="41.55" customHeight="1">
      <c r="A37" s="459">
        <v>18</v>
      </c>
      <c r="B37" s="440" t="s">
        <v>810</v>
      </c>
      <c r="C37" s="645">
        <f>SUM(C38:C39)</f>
        <v>-13994105.989999196</v>
      </c>
      <c r="D37" s="645">
        <f>SUM(D38:D39)</f>
        <v>-802821.92999999784</v>
      </c>
      <c r="E37" s="641">
        <f t="shared" si="0"/>
        <v>-14796927.919999193</v>
      </c>
      <c r="F37" s="635">
        <f>SUM(F38:F39)</f>
        <v>-13164611.01</v>
      </c>
      <c r="G37" s="635">
        <f>SUM(G38:G39)</f>
        <v>-100763.34999999963</v>
      </c>
      <c r="H37" s="641">
        <f t="shared" si="1"/>
        <v>-13265374.359999999</v>
      </c>
      <c r="I37" s="642"/>
    </row>
    <row r="38" spans="1:9" ht="20.399999999999999">
      <c r="A38" s="459">
        <v>18.100000000000001</v>
      </c>
      <c r="B38" s="422" t="s">
        <v>811</v>
      </c>
      <c r="C38" s="645"/>
      <c r="D38" s="645"/>
      <c r="E38" s="641">
        <f t="shared" si="0"/>
        <v>0</v>
      </c>
      <c r="F38" s="635"/>
      <c r="G38" s="635"/>
      <c r="H38" s="641">
        <f t="shared" si="1"/>
        <v>0</v>
      </c>
      <c r="I38" s="642"/>
    </row>
    <row r="39" spans="1:9">
      <c r="A39" s="459">
        <v>18.2</v>
      </c>
      <c r="B39" s="422" t="s">
        <v>812</v>
      </c>
      <c r="C39" s="645">
        <v>-13994105.989999196</v>
      </c>
      <c r="D39" s="645">
        <v>-802821.92999999784</v>
      </c>
      <c r="E39" s="641">
        <f t="shared" si="0"/>
        <v>-14796927.919999193</v>
      </c>
      <c r="F39" s="635">
        <v>-13164611.01</v>
      </c>
      <c r="G39" s="635">
        <v>-100763.34999999963</v>
      </c>
      <c r="H39" s="641">
        <f t="shared" si="1"/>
        <v>-13265374.359999999</v>
      </c>
      <c r="I39" s="642"/>
    </row>
    <row r="40" spans="1:9" ht="24.45" customHeight="1">
      <c r="A40" s="459">
        <v>19</v>
      </c>
      <c r="B40" s="440" t="s">
        <v>813</v>
      </c>
      <c r="C40" s="645"/>
      <c r="D40" s="645"/>
      <c r="E40" s="641">
        <f t="shared" si="0"/>
        <v>0</v>
      </c>
      <c r="F40" s="635"/>
      <c r="G40" s="635"/>
      <c r="H40" s="641">
        <f t="shared" si="1"/>
        <v>0</v>
      </c>
      <c r="I40" s="642"/>
    </row>
    <row r="41" spans="1:9" ht="25.05" customHeight="1">
      <c r="A41" s="459">
        <v>20</v>
      </c>
      <c r="B41" s="440" t="s">
        <v>814</v>
      </c>
      <c r="C41" s="645">
        <v>-509756.42</v>
      </c>
      <c r="D41" s="645"/>
      <c r="E41" s="641">
        <f t="shared" si="0"/>
        <v>-509756.42</v>
      </c>
      <c r="F41" s="635">
        <v>-175777.41</v>
      </c>
      <c r="G41" s="635"/>
      <c r="H41" s="641">
        <f t="shared" si="1"/>
        <v>-175777.41</v>
      </c>
      <c r="I41" s="642"/>
    </row>
    <row r="42" spans="1:9" ht="33" customHeight="1">
      <c r="A42" s="459">
        <v>21</v>
      </c>
      <c r="B42" s="441" t="s">
        <v>815</v>
      </c>
      <c r="C42" s="645"/>
      <c r="D42" s="645"/>
      <c r="E42" s="641">
        <f t="shared" si="0"/>
        <v>0</v>
      </c>
      <c r="F42" s="635"/>
      <c r="G42" s="635"/>
      <c r="H42" s="418">
        <f t="shared" si="1"/>
        <v>0</v>
      </c>
    </row>
    <row r="43" spans="1:9">
      <c r="A43" s="459">
        <v>22</v>
      </c>
      <c r="B43" s="442" t="s">
        <v>816</v>
      </c>
      <c r="C43" s="645">
        <f>SUM(C6,C13,C18,C19,C20,C21,C22,C23,C24,C25,C26,C27,C28,C29,C32,C33,C34,C37,C40,C41,C42)</f>
        <v>13847250.970006753</v>
      </c>
      <c r="D43" s="645">
        <f>SUM(D6,D13,D18,D19,D20,D21,D22,D23,D24,D25,D26,D27,D28,D29,D32,D33,D34,D37,D40,D41,D42)</f>
        <v>-99170.900000002701</v>
      </c>
      <c r="E43" s="641">
        <f t="shared" si="0"/>
        <v>13748080.070006751</v>
      </c>
      <c r="F43" s="635">
        <f>SUM(F6,F13,F18,F19,F20,F21,F22,F23,F24,F25,F26,F27,F28,F29,F32,F33,F34,F37,F40,F41,F42)</f>
        <v>7051638.1199999619</v>
      </c>
      <c r="G43" s="635">
        <f>SUM(G6,G13,G18,G19,G20,G21,G22,G23,G24,G25,G26,G27,G28,G29,G32,G33,G34,G37,G40,G41,G42)</f>
        <v>-766460.79999998724</v>
      </c>
      <c r="H43" s="641">
        <f t="shared" si="1"/>
        <v>6285177.3199999742</v>
      </c>
    </row>
    <row r="44" spans="1:9">
      <c r="A44" s="459">
        <v>23</v>
      </c>
      <c r="B44" s="442" t="s">
        <v>817</v>
      </c>
      <c r="C44" s="645">
        <v>2749666.91</v>
      </c>
      <c r="D44" s="645"/>
      <c r="E44" s="641">
        <f t="shared" si="0"/>
        <v>2749666.91</v>
      </c>
      <c r="F44" s="635">
        <v>1257035.3700000001</v>
      </c>
      <c r="G44" s="635"/>
      <c r="H44" s="641">
        <f t="shared" si="1"/>
        <v>1257035.3700000001</v>
      </c>
    </row>
    <row r="45" spans="1:9">
      <c r="A45" s="459">
        <v>24</v>
      </c>
      <c r="B45" s="442" t="s">
        <v>818</v>
      </c>
      <c r="C45" s="645">
        <f>C43-C44</f>
        <v>11097584.060006753</v>
      </c>
      <c r="D45" s="645">
        <f>D43-D44</f>
        <v>-99170.900000002701</v>
      </c>
      <c r="E45" s="641">
        <f t="shared" si="0"/>
        <v>10998413.16000675</v>
      </c>
      <c r="F45" s="635">
        <f>F43-F44</f>
        <v>5794602.7499999618</v>
      </c>
      <c r="G45" s="635">
        <f>G43-G44</f>
        <v>-766460.79999998724</v>
      </c>
      <c r="H45" s="641">
        <f t="shared" si="1"/>
        <v>5028141.949999975</v>
      </c>
    </row>
    <row r="46" spans="1:9">
      <c r="C46" s="642"/>
    </row>
    <row r="47" spans="1:9">
      <c r="C47" s="646"/>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tabSelected="1" zoomScale="70" zoomScaleNormal="70" workbookViewId="0">
      <selection activeCell="D32" sqref="D32"/>
    </sheetView>
  </sheetViews>
  <sheetFormatPr defaultRowHeight="14.4"/>
  <cols>
    <col min="1" max="1" width="8.77734375" style="456"/>
    <col min="2" max="2" width="87.6640625" bestFit="1" customWidth="1"/>
    <col min="3" max="3" width="21.21875" customWidth="1"/>
    <col min="4" max="4" width="19.44140625" customWidth="1"/>
    <col min="5" max="8" width="12.77734375" customWidth="1"/>
  </cols>
  <sheetData>
    <row r="1" spans="1:8">
      <c r="A1" s="13" t="s">
        <v>111</v>
      </c>
      <c r="B1" s="307" t="str">
        <f>Info!C2</f>
        <v>სს "კრედო ბანკი"</v>
      </c>
      <c r="C1" s="12"/>
      <c r="D1" s="1"/>
      <c r="E1" s="1"/>
      <c r="F1" s="1"/>
      <c r="G1" s="1"/>
    </row>
    <row r="2" spans="1:8">
      <c r="A2" s="13" t="s">
        <v>112</v>
      </c>
      <c r="B2" s="338">
        <f>'1. key ratios'!B2</f>
        <v>45382</v>
      </c>
      <c r="C2" s="12"/>
      <c r="D2" s="1"/>
      <c r="E2" s="1"/>
      <c r="F2" s="1"/>
      <c r="G2" s="1"/>
    </row>
    <row r="3" spans="1:8">
      <c r="A3" s="13"/>
      <c r="B3" s="12"/>
      <c r="C3" s="12"/>
      <c r="D3" s="1"/>
      <c r="E3" s="1"/>
      <c r="F3" s="1"/>
      <c r="G3" s="1"/>
    </row>
    <row r="4" spans="1:8">
      <c r="A4" s="772" t="s">
        <v>27</v>
      </c>
      <c r="B4" s="781" t="s">
        <v>155</v>
      </c>
      <c r="C4" s="782" t="s">
        <v>117</v>
      </c>
      <c r="D4" s="782"/>
      <c r="E4" s="782"/>
      <c r="F4" s="782" t="s">
        <v>118</v>
      </c>
      <c r="G4" s="782"/>
      <c r="H4" s="783"/>
    </row>
    <row r="5" spans="1:8">
      <c r="A5" s="772"/>
      <c r="B5" s="781"/>
      <c r="C5" s="430" t="s">
        <v>28</v>
      </c>
      <c r="D5" s="430" t="s">
        <v>91</v>
      </c>
      <c r="E5" s="430" t="s">
        <v>68</v>
      </c>
      <c r="F5" s="430" t="s">
        <v>28</v>
      </c>
      <c r="G5" s="430" t="s">
        <v>91</v>
      </c>
      <c r="H5" s="443" t="s">
        <v>68</v>
      </c>
    </row>
    <row r="6" spans="1:8">
      <c r="A6" s="444">
        <v>1</v>
      </c>
      <c r="B6" s="445" t="s">
        <v>819</v>
      </c>
      <c r="C6" s="446"/>
      <c r="D6" s="446"/>
      <c r="E6" s="447">
        <f t="shared" ref="E6:E43" si="0">C6+D6</f>
        <v>0</v>
      </c>
      <c r="F6" s="643"/>
      <c r="G6" s="643"/>
      <c r="H6" s="448">
        <f t="shared" ref="H6:H43" si="1">F6+G6</f>
        <v>0</v>
      </c>
    </row>
    <row r="7" spans="1:8">
      <c r="A7" s="444">
        <v>2</v>
      </c>
      <c r="B7" s="449" t="s">
        <v>181</v>
      </c>
      <c r="C7" s="446"/>
      <c r="D7" s="446"/>
      <c r="E7" s="447">
        <f t="shared" si="0"/>
        <v>0</v>
      </c>
      <c r="F7" s="643"/>
      <c r="G7" s="643"/>
      <c r="H7" s="448">
        <f t="shared" si="1"/>
        <v>0</v>
      </c>
    </row>
    <row r="8" spans="1:8">
      <c r="A8" s="444">
        <v>3</v>
      </c>
      <c r="B8" s="449" t="s">
        <v>183</v>
      </c>
      <c r="C8" s="446">
        <f>C9+C10</f>
        <v>1240049374.3199999</v>
      </c>
      <c r="D8" s="446">
        <f>D9+D10</f>
        <v>0</v>
      </c>
      <c r="E8" s="447">
        <f t="shared" si="0"/>
        <v>1240049374.3199999</v>
      </c>
      <c r="F8" s="643">
        <f>F9+F10</f>
        <v>1072393242.75</v>
      </c>
      <c r="G8" s="643">
        <f>G9+G10</f>
        <v>0</v>
      </c>
      <c r="H8" s="448">
        <f t="shared" si="1"/>
        <v>1072393242.75</v>
      </c>
    </row>
    <row r="9" spans="1:8">
      <c r="A9" s="444">
        <v>3.1</v>
      </c>
      <c r="B9" s="450" t="s">
        <v>820</v>
      </c>
      <c r="C9" s="446">
        <v>1239783269.3199999</v>
      </c>
      <c r="D9" s="446"/>
      <c r="E9" s="447">
        <f t="shared" si="0"/>
        <v>1239783269.3199999</v>
      </c>
      <c r="F9" s="643">
        <v>1072127137.75</v>
      </c>
      <c r="G9" s="643"/>
      <c r="H9" s="448">
        <f t="shared" si="1"/>
        <v>1072127137.75</v>
      </c>
    </row>
    <row r="10" spans="1:8">
      <c r="A10" s="444">
        <v>3.2</v>
      </c>
      <c r="B10" s="450" t="s">
        <v>821</v>
      </c>
      <c r="C10" s="446">
        <v>266105</v>
      </c>
      <c r="D10" s="446"/>
      <c r="E10" s="447">
        <f t="shared" si="0"/>
        <v>266105</v>
      </c>
      <c r="F10" s="643">
        <v>266105</v>
      </c>
      <c r="G10" s="643"/>
      <c r="H10" s="448">
        <f t="shared" si="1"/>
        <v>266105</v>
      </c>
    </row>
    <row r="11" spans="1:8">
      <c r="A11" s="444">
        <v>4</v>
      </c>
      <c r="B11" s="449" t="s">
        <v>182</v>
      </c>
      <c r="C11" s="446">
        <f>C12+C13</f>
        <v>0</v>
      </c>
      <c r="D11" s="446">
        <f>D12+D13</f>
        <v>0</v>
      </c>
      <c r="E11" s="447">
        <f t="shared" si="0"/>
        <v>0</v>
      </c>
      <c r="F11" s="643">
        <f>F12+F13</f>
        <v>0</v>
      </c>
      <c r="G11" s="643">
        <f>G12+G13</f>
        <v>0</v>
      </c>
      <c r="H11" s="448">
        <f t="shared" si="1"/>
        <v>0</v>
      </c>
    </row>
    <row r="12" spans="1:8">
      <c r="A12" s="444">
        <v>4.0999999999999996</v>
      </c>
      <c r="B12" s="450" t="s">
        <v>822</v>
      </c>
      <c r="C12" s="446"/>
      <c r="D12" s="446"/>
      <c r="E12" s="447">
        <f t="shared" si="0"/>
        <v>0</v>
      </c>
      <c r="F12" s="643"/>
      <c r="G12" s="643"/>
      <c r="H12" s="448">
        <f t="shared" si="1"/>
        <v>0</v>
      </c>
    </row>
    <row r="13" spans="1:8">
      <c r="A13" s="444">
        <v>4.2</v>
      </c>
      <c r="B13" s="450" t="s">
        <v>823</v>
      </c>
      <c r="C13" s="446"/>
      <c r="D13" s="446"/>
      <c r="E13" s="447">
        <f t="shared" si="0"/>
        <v>0</v>
      </c>
      <c r="F13" s="643"/>
      <c r="G13" s="643"/>
      <c r="H13" s="448">
        <f t="shared" si="1"/>
        <v>0</v>
      </c>
    </row>
    <row r="14" spans="1:8">
      <c r="A14" s="444">
        <v>5</v>
      </c>
      <c r="B14" s="451" t="s">
        <v>824</v>
      </c>
      <c r="C14" s="446">
        <f>C15+C16+C17+C23+C24+C25+C26</f>
        <v>1502588698.6799998</v>
      </c>
      <c r="D14" s="446">
        <f>D15+D16+D17+D23+D24+D25+D26</f>
        <v>1886710</v>
      </c>
      <c r="E14" s="447">
        <f t="shared" si="0"/>
        <v>1504475408.6799998</v>
      </c>
      <c r="F14" s="643">
        <f>F15+F16+F17+F23+F24+F25+F26</f>
        <v>1044325313.6699998</v>
      </c>
      <c r="G14" s="643">
        <f>G15+G16+G17+G23+G24+G25+G26</f>
        <v>2560400</v>
      </c>
      <c r="H14" s="448">
        <f t="shared" si="1"/>
        <v>1046885713.6699998</v>
      </c>
    </row>
    <row r="15" spans="1:8">
      <c r="A15" s="444">
        <v>5.0999999999999996</v>
      </c>
      <c r="B15" s="452" t="s">
        <v>825</v>
      </c>
      <c r="C15" s="446">
        <v>13155871.83</v>
      </c>
      <c r="D15" s="446">
        <v>1886710</v>
      </c>
      <c r="E15" s="447">
        <f t="shared" si="0"/>
        <v>15042581.83</v>
      </c>
      <c r="F15" s="643">
        <v>13934673.869999999</v>
      </c>
      <c r="G15" s="643">
        <v>2560400</v>
      </c>
      <c r="H15" s="448">
        <f t="shared" si="1"/>
        <v>16495073.869999999</v>
      </c>
    </row>
    <row r="16" spans="1:8">
      <c r="A16" s="444">
        <v>5.2</v>
      </c>
      <c r="B16" s="452" t="s">
        <v>826</v>
      </c>
      <c r="C16" s="446">
        <v>2028</v>
      </c>
      <c r="D16" s="446"/>
      <c r="E16" s="447">
        <f t="shared" si="0"/>
        <v>2028</v>
      </c>
      <c r="F16" s="643">
        <v>45090.78</v>
      </c>
      <c r="G16" s="643"/>
      <c r="H16" s="448">
        <f t="shared" si="1"/>
        <v>45090.78</v>
      </c>
    </row>
    <row r="17" spans="1:8">
      <c r="A17" s="444">
        <v>5.3</v>
      </c>
      <c r="B17" s="452" t="s">
        <v>827</v>
      </c>
      <c r="C17" s="446">
        <f>C18+C19+C20+C21+C22</f>
        <v>1326854010.04</v>
      </c>
      <c r="D17" s="446">
        <f>D18+D19+D20+D21+D22</f>
        <v>0</v>
      </c>
      <c r="E17" s="447">
        <f t="shared" si="0"/>
        <v>1326854010.04</v>
      </c>
      <c r="F17" s="643">
        <f>F18+F19+F20+F21+F22</f>
        <v>939529394.33999991</v>
      </c>
      <c r="G17" s="643">
        <f>G18+G19+G20+G21+G22</f>
        <v>0</v>
      </c>
      <c r="H17" s="448">
        <f t="shared" si="1"/>
        <v>939529394.33999991</v>
      </c>
    </row>
    <row r="18" spans="1:8">
      <c r="A18" s="444" t="s">
        <v>184</v>
      </c>
      <c r="B18" s="453" t="s">
        <v>828</v>
      </c>
      <c r="C18" s="446">
        <v>981658733.76999998</v>
      </c>
      <c r="D18" s="446"/>
      <c r="E18" s="447">
        <f t="shared" si="0"/>
        <v>981658733.76999998</v>
      </c>
      <c r="F18" s="643">
        <v>679088471.42999995</v>
      </c>
      <c r="G18" s="643"/>
      <c r="H18" s="448">
        <f t="shared" si="1"/>
        <v>679088471.42999995</v>
      </c>
    </row>
    <row r="19" spans="1:8">
      <c r="A19" s="444" t="s">
        <v>185</v>
      </c>
      <c r="B19" s="454" t="s">
        <v>829</v>
      </c>
      <c r="C19" s="446">
        <v>160549238.97</v>
      </c>
      <c r="D19" s="446"/>
      <c r="E19" s="447">
        <f t="shared" si="0"/>
        <v>160549238.97</v>
      </c>
      <c r="F19" s="643">
        <v>138261435.27000001</v>
      </c>
      <c r="G19" s="643"/>
      <c r="H19" s="448">
        <f t="shared" si="1"/>
        <v>138261435.27000001</v>
      </c>
    </row>
    <row r="20" spans="1:8">
      <c r="A20" s="444" t="s">
        <v>186</v>
      </c>
      <c r="B20" s="454" t="s">
        <v>830</v>
      </c>
      <c r="C20" s="446"/>
      <c r="D20" s="446"/>
      <c r="E20" s="447">
        <f t="shared" si="0"/>
        <v>0</v>
      </c>
      <c r="F20" s="643"/>
      <c r="G20" s="643"/>
      <c r="H20" s="448">
        <f t="shared" si="1"/>
        <v>0</v>
      </c>
    </row>
    <row r="21" spans="1:8">
      <c r="A21" s="444" t="s">
        <v>187</v>
      </c>
      <c r="B21" s="454" t="s">
        <v>831</v>
      </c>
      <c r="C21" s="446">
        <v>180285186</v>
      </c>
      <c r="D21" s="446"/>
      <c r="E21" s="447">
        <f t="shared" si="0"/>
        <v>180285186</v>
      </c>
      <c r="F21" s="643">
        <v>117688933.75</v>
      </c>
      <c r="G21" s="643"/>
      <c r="H21" s="448">
        <f t="shared" si="1"/>
        <v>117688933.75</v>
      </c>
    </row>
    <row r="22" spans="1:8">
      <c r="A22" s="444" t="s">
        <v>188</v>
      </c>
      <c r="B22" s="454" t="s">
        <v>545</v>
      </c>
      <c r="C22" s="446">
        <v>4360851.3</v>
      </c>
      <c r="D22" s="446"/>
      <c r="E22" s="447">
        <f t="shared" si="0"/>
        <v>4360851.3</v>
      </c>
      <c r="F22" s="643">
        <v>4490553.8899999997</v>
      </c>
      <c r="G22" s="643"/>
      <c r="H22" s="448">
        <f t="shared" si="1"/>
        <v>4490553.8899999997</v>
      </c>
    </row>
    <row r="23" spans="1:8">
      <c r="A23" s="444">
        <v>5.4</v>
      </c>
      <c r="B23" s="452" t="s">
        <v>832</v>
      </c>
      <c r="C23" s="446">
        <v>162576788.81</v>
      </c>
      <c r="D23" s="446"/>
      <c r="E23" s="447">
        <f t="shared" si="0"/>
        <v>162576788.81</v>
      </c>
      <c r="F23" s="643">
        <v>90816154.680000007</v>
      </c>
      <c r="G23" s="643"/>
      <c r="H23" s="448">
        <f t="shared" si="1"/>
        <v>90816154.680000007</v>
      </c>
    </row>
    <row r="24" spans="1:8">
      <c r="A24" s="444">
        <v>5.5</v>
      </c>
      <c r="B24" s="452" t="s">
        <v>833</v>
      </c>
      <c r="C24" s="446"/>
      <c r="D24" s="446"/>
      <c r="E24" s="447">
        <f t="shared" si="0"/>
        <v>0</v>
      </c>
      <c r="F24" s="643"/>
      <c r="G24" s="643"/>
      <c r="H24" s="448">
        <f t="shared" si="1"/>
        <v>0</v>
      </c>
    </row>
    <row r="25" spans="1:8">
      <c r="A25" s="444">
        <v>5.6</v>
      </c>
      <c r="B25" s="452" t="s">
        <v>834</v>
      </c>
      <c r="C25" s="446"/>
      <c r="D25" s="446"/>
      <c r="E25" s="447">
        <f t="shared" si="0"/>
        <v>0</v>
      </c>
      <c r="F25" s="643"/>
      <c r="G25" s="643"/>
      <c r="H25" s="448">
        <f t="shared" si="1"/>
        <v>0</v>
      </c>
    </row>
    <row r="26" spans="1:8">
      <c r="A26" s="444">
        <v>5.7</v>
      </c>
      <c r="B26" s="452" t="s">
        <v>545</v>
      </c>
      <c r="C26" s="446"/>
      <c r="D26" s="446"/>
      <c r="E26" s="447">
        <f t="shared" si="0"/>
        <v>0</v>
      </c>
      <c r="F26" s="643"/>
      <c r="G26" s="643"/>
      <c r="H26" s="448">
        <f t="shared" si="1"/>
        <v>0</v>
      </c>
    </row>
    <row r="27" spans="1:8">
      <c r="A27" s="444">
        <v>6</v>
      </c>
      <c r="B27" s="451" t="s">
        <v>835</v>
      </c>
      <c r="C27" s="446">
        <v>50061864</v>
      </c>
      <c r="D27" s="446">
        <v>15583373</v>
      </c>
      <c r="E27" s="447">
        <f t="shared" si="0"/>
        <v>65645237</v>
      </c>
      <c r="F27" s="643">
        <v>29157586.23</v>
      </c>
      <c r="G27" s="643">
        <v>13430474.020000001</v>
      </c>
      <c r="H27" s="448">
        <f t="shared" si="1"/>
        <v>42588060.25</v>
      </c>
    </row>
    <row r="28" spans="1:8">
      <c r="A28" s="444">
        <v>7</v>
      </c>
      <c r="B28" s="451" t="s">
        <v>836</v>
      </c>
      <c r="C28" s="446">
        <v>184758</v>
      </c>
      <c r="D28" s="446"/>
      <c r="E28" s="447">
        <f t="shared" si="0"/>
        <v>184758</v>
      </c>
      <c r="F28" s="643">
        <v>337890</v>
      </c>
      <c r="G28" s="643"/>
      <c r="H28" s="448">
        <f t="shared" si="1"/>
        <v>337890</v>
      </c>
    </row>
    <row r="29" spans="1:8">
      <c r="A29" s="444">
        <v>8</v>
      </c>
      <c r="B29" s="451" t="s">
        <v>837</v>
      </c>
      <c r="C29" s="446"/>
      <c r="D29" s="446"/>
      <c r="E29" s="447">
        <f t="shared" si="0"/>
        <v>0</v>
      </c>
      <c r="F29" s="643"/>
      <c r="G29" s="643"/>
      <c r="H29" s="448">
        <f t="shared" si="1"/>
        <v>0</v>
      </c>
    </row>
    <row r="30" spans="1:8">
      <c r="A30" s="444">
        <v>9</v>
      </c>
      <c r="B30" s="449" t="s">
        <v>189</v>
      </c>
      <c r="C30" s="446">
        <f>C31+C32+C33+C34+C35+C36+C37</f>
        <v>253116360.94999999</v>
      </c>
      <c r="D30" s="446">
        <f>D31+D32+D33+D34+D35+D36+D37</f>
        <v>0</v>
      </c>
      <c r="E30" s="447">
        <f t="shared" si="0"/>
        <v>253116360.94999999</v>
      </c>
      <c r="F30" s="643">
        <f>F31+F32+F33+F34+F35+F36+F37</f>
        <v>179271107</v>
      </c>
      <c r="G30" s="643">
        <f>G31+G32+G33+G34+G35+G36+G37</f>
        <v>1475239</v>
      </c>
      <c r="H30" s="448">
        <f t="shared" si="1"/>
        <v>180746346</v>
      </c>
    </row>
    <row r="31" spans="1:8" ht="27.6">
      <c r="A31" s="444">
        <v>9.1</v>
      </c>
      <c r="B31" s="450" t="s">
        <v>838</v>
      </c>
      <c r="C31" s="446"/>
      <c r="D31" s="446"/>
      <c r="E31" s="447">
        <f t="shared" si="0"/>
        <v>0</v>
      </c>
      <c r="F31" s="643"/>
      <c r="G31" s="643"/>
      <c r="H31" s="448">
        <f t="shared" si="1"/>
        <v>0</v>
      </c>
    </row>
    <row r="32" spans="1:8" ht="27.6">
      <c r="A32" s="444">
        <v>9.1999999999999993</v>
      </c>
      <c r="B32" s="450" t="s">
        <v>839</v>
      </c>
      <c r="C32" s="446">
        <v>253116360.94999999</v>
      </c>
      <c r="D32" s="446"/>
      <c r="E32" s="447">
        <f t="shared" si="0"/>
        <v>253116360.94999999</v>
      </c>
      <c r="F32" s="643">
        <v>179271107</v>
      </c>
      <c r="G32" s="643">
        <v>1475239</v>
      </c>
      <c r="H32" s="448">
        <f t="shared" si="1"/>
        <v>180746346</v>
      </c>
    </row>
    <row r="33" spans="1:8" ht="27.6">
      <c r="A33" s="444">
        <v>9.3000000000000007</v>
      </c>
      <c r="B33" s="450" t="s">
        <v>840</v>
      </c>
      <c r="C33" s="446"/>
      <c r="D33" s="446"/>
      <c r="E33" s="447">
        <f t="shared" si="0"/>
        <v>0</v>
      </c>
      <c r="F33" s="643"/>
      <c r="G33" s="643"/>
      <c r="H33" s="448">
        <f t="shared" si="1"/>
        <v>0</v>
      </c>
    </row>
    <row r="34" spans="1:8">
      <c r="A34" s="444">
        <v>9.4</v>
      </c>
      <c r="B34" s="450" t="s">
        <v>841</v>
      </c>
      <c r="C34" s="446"/>
      <c r="D34" s="446"/>
      <c r="E34" s="447">
        <f t="shared" si="0"/>
        <v>0</v>
      </c>
      <c r="F34" s="643"/>
      <c r="G34" s="643"/>
      <c r="H34" s="448">
        <f t="shared" si="1"/>
        <v>0</v>
      </c>
    </row>
    <row r="35" spans="1:8">
      <c r="A35" s="444">
        <v>9.5</v>
      </c>
      <c r="B35" s="450" t="s">
        <v>842</v>
      </c>
      <c r="C35" s="446"/>
      <c r="D35" s="446"/>
      <c r="E35" s="447">
        <f t="shared" si="0"/>
        <v>0</v>
      </c>
      <c r="F35" s="643"/>
      <c r="G35" s="643"/>
      <c r="H35" s="448">
        <f t="shared" si="1"/>
        <v>0</v>
      </c>
    </row>
    <row r="36" spans="1:8" ht="27.6">
      <c r="A36" s="444">
        <v>9.6</v>
      </c>
      <c r="B36" s="450" t="s">
        <v>843</v>
      </c>
      <c r="C36" s="446"/>
      <c r="D36" s="446"/>
      <c r="E36" s="447">
        <f t="shared" si="0"/>
        <v>0</v>
      </c>
      <c r="F36" s="643"/>
      <c r="G36" s="643"/>
      <c r="H36" s="448">
        <f t="shared" si="1"/>
        <v>0</v>
      </c>
    </row>
    <row r="37" spans="1:8" ht="27.6">
      <c r="A37" s="444">
        <v>9.6999999999999993</v>
      </c>
      <c r="B37" s="450" t="s">
        <v>844</v>
      </c>
      <c r="C37" s="446"/>
      <c r="D37" s="446"/>
      <c r="E37" s="447">
        <f t="shared" si="0"/>
        <v>0</v>
      </c>
      <c r="F37" s="643"/>
      <c r="G37" s="643"/>
      <c r="H37" s="448">
        <f t="shared" si="1"/>
        <v>0</v>
      </c>
    </row>
    <row r="38" spans="1:8">
      <c r="A38" s="444">
        <v>10</v>
      </c>
      <c r="B38" s="451" t="s">
        <v>845</v>
      </c>
      <c r="C38" s="446">
        <f>C39+C40+C41+C42</f>
        <v>240895244.62</v>
      </c>
      <c r="D38" s="446">
        <f>D39+D40+D41+D42</f>
        <v>7403359.0726499986</v>
      </c>
      <c r="E38" s="447">
        <f t="shared" si="0"/>
        <v>248298603.69264999</v>
      </c>
      <c r="F38" s="643">
        <f>F39+F40+F41+F42</f>
        <v>200390991.69</v>
      </c>
      <c r="G38" s="643">
        <f>G39+G40+G41+G42</f>
        <v>6912078.1532239998</v>
      </c>
      <c r="H38" s="448">
        <f t="shared" si="1"/>
        <v>207303069.84322399</v>
      </c>
    </row>
    <row r="39" spans="1:8">
      <c r="A39" s="444">
        <v>10.1</v>
      </c>
      <c r="B39" s="450" t="s">
        <v>846</v>
      </c>
      <c r="C39" s="446">
        <f>9401003.47000002+2246.6</f>
        <v>9403250.0700000189</v>
      </c>
      <c r="D39" s="446">
        <v>843908.51042199996</v>
      </c>
      <c r="E39" s="447">
        <f t="shared" si="0"/>
        <v>10247158.58042202</v>
      </c>
      <c r="F39" s="643">
        <v>8914727</v>
      </c>
      <c r="G39" s="643">
        <v>10493</v>
      </c>
      <c r="H39" s="448">
        <f t="shared" si="1"/>
        <v>8925220</v>
      </c>
    </row>
    <row r="40" spans="1:8" ht="27.6">
      <c r="A40" s="444">
        <v>10.199999999999999</v>
      </c>
      <c r="B40" s="450" t="s">
        <v>847</v>
      </c>
      <c r="C40" s="446">
        <f>6197255.22999999+17.61</f>
        <v>6197272.8399999905</v>
      </c>
      <c r="D40" s="446">
        <v>181846.61947599993</v>
      </c>
      <c r="E40" s="447">
        <f t="shared" si="0"/>
        <v>6379119.4594759904</v>
      </c>
      <c r="F40" s="643">
        <v>5528116</v>
      </c>
      <c r="G40" s="643">
        <v>4762</v>
      </c>
      <c r="H40" s="448">
        <f t="shared" si="1"/>
        <v>5532878</v>
      </c>
    </row>
    <row r="41" spans="1:8" ht="27.6">
      <c r="A41" s="444">
        <v>10.3</v>
      </c>
      <c r="B41" s="450" t="s">
        <v>848</v>
      </c>
      <c r="C41" s="446">
        <v>143782541.47</v>
      </c>
      <c r="D41" s="446">
        <v>3379609.6445539994</v>
      </c>
      <c r="E41" s="447">
        <f t="shared" si="0"/>
        <v>147162151.11455399</v>
      </c>
      <c r="F41" s="643">
        <v>110535735.69</v>
      </c>
      <c r="G41" s="643">
        <v>4045962.1532239998</v>
      </c>
      <c r="H41" s="448">
        <f t="shared" si="1"/>
        <v>114581697.843224</v>
      </c>
    </row>
    <row r="42" spans="1:8" ht="27.6">
      <c r="A42" s="444">
        <v>10.4</v>
      </c>
      <c r="B42" s="450" t="s">
        <v>849</v>
      </c>
      <c r="C42" s="446">
        <v>81512180.239999995</v>
      </c>
      <c r="D42" s="446">
        <v>2997994.2981980001</v>
      </c>
      <c r="E42" s="447">
        <f t="shared" si="0"/>
        <v>84510174.538197994</v>
      </c>
      <c r="F42" s="643">
        <v>75412413</v>
      </c>
      <c r="G42" s="643">
        <v>2850861</v>
      </c>
      <c r="H42" s="448">
        <f t="shared" si="1"/>
        <v>78263274</v>
      </c>
    </row>
    <row r="43" spans="1:8">
      <c r="A43" s="444">
        <v>11</v>
      </c>
      <c r="B43" s="455" t="s">
        <v>190</v>
      </c>
      <c r="C43" s="446"/>
      <c r="D43" s="446"/>
      <c r="E43" s="447">
        <f t="shared" si="0"/>
        <v>0</v>
      </c>
      <c r="F43" s="446"/>
      <c r="G43" s="446"/>
      <c r="H43" s="448">
        <f t="shared" si="1"/>
        <v>0</v>
      </c>
    </row>
    <row r="44" spans="1:8">
      <c r="C44" s="457"/>
      <c r="D44" s="457"/>
      <c r="E44" s="457"/>
      <c r="F44" s="457"/>
      <c r="G44" s="457"/>
      <c r="H44" s="457"/>
    </row>
    <row r="45" spans="1:8">
      <c r="B45" s="689"/>
      <c r="C45" s="457"/>
      <c r="D45" s="457"/>
      <c r="E45" s="457"/>
      <c r="F45" s="457"/>
      <c r="G45" s="457"/>
      <c r="H45" s="457"/>
    </row>
    <row r="46" spans="1:8">
      <c r="B46" s="689"/>
      <c r="C46" s="457"/>
      <c r="D46" s="457"/>
      <c r="E46" s="457"/>
      <c r="F46" s="457"/>
      <c r="G46" s="457"/>
      <c r="H46" s="457"/>
    </row>
    <row r="47" spans="1:8">
      <c r="B47" s="689"/>
      <c r="C47" s="457"/>
      <c r="D47" s="457"/>
      <c r="E47" s="457"/>
      <c r="F47" s="457"/>
      <c r="G47" s="457"/>
      <c r="H47" s="457"/>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1875" defaultRowHeight="13.8"/>
  <cols>
    <col min="1" max="1" width="9.5546875" style="1" bestFit="1" customWidth="1"/>
    <col min="2" max="2" width="93.5546875" style="1" customWidth="1"/>
    <col min="3" max="4" width="12.77734375" style="1" customWidth="1"/>
    <col min="5" max="5" width="13.33203125" style="8" customWidth="1"/>
    <col min="6" max="7" width="12.33203125" style="8" bestFit="1" customWidth="1"/>
    <col min="8" max="11" width="9.77734375" style="8" customWidth="1"/>
    <col min="12" max="16384" width="9.21875" style="8"/>
  </cols>
  <sheetData>
    <row r="1" spans="1:7">
      <c r="A1" s="13" t="s">
        <v>111</v>
      </c>
      <c r="B1" s="12" t="str">
        <f>Info!C2</f>
        <v>სს "კრედო ბანკი"</v>
      </c>
      <c r="C1" s="12"/>
    </row>
    <row r="2" spans="1:7">
      <c r="A2" s="13" t="s">
        <v>112</v>
      </c>
      <c r="B2" s="338">
        <f>'1. key ratios'!B2</f>
        <v>45382</v>
      </c>
      <c r="C2" s="12"/>
    </row>
    <row r="3" spans="1:7">
      <c r="A3" s="13"/>
      <c r="B3" s="12"/>
      <c r="C3" s="12"/>
    </row>
    <row r="4" spans="1:7" ht="15" customHeight="1" thickBot="1">
      <c r="A4" s="144" t="s">
        <v>257</v>
      </c>
      <c r="B4" s="145" t="s">
        <v>110</v>
      </c>
      <c r="C4" s="146" t="s">
        <v>90</v>
      </c>
    </row>
    <row r="5" spans="1:7" ht="15" customHeight="1">
      <c r="A5" s="142" t="s">
        <v>27</v>
      </c>
      <c r="B5" s="143"/>
      <c r="C5" s="327" t="str">
        <f>INT((MONTH($B$2))/3)&amp;"Q"&amp;"-"&amp;YEAR($B$2)</f>
        <v>1Q-2024</v>
      </c>
      <c r="D5" s="327" t="str">
        <f>IF(INT(MONTH($B$2))=3, "4"&amp;"Q"&amp;"-"&amp;YEAR($B$2)-1, IF(INT(MONTH($B$2))=6, "1"&amp;"Q"&amp;"-"&amp;YEAR($B$2), IF(INT(MONTH($B$2))=9, "2"&amp;"Q"&amp;"-"&amp;YEAR($B$2),IF(INT(MONTH($B$2))=12, "3"&amp;"Q"&amp;"-"&amp;YEAR($B$2), 0))))</f>
        <v>4Q-2023</v>
      </c>
      <c r="E5" s="327" t="str">
        <f>IF(INT(MONTH($B$2))=3, "3"&amp;"Q"&amp;"-"&amp;YEAR($B$2)-1, IF(INT(MONTH($B$2))=6, "4"&amp;"Q"&amp;"-"&amp;YEAR($B$2)-1, IF(INT(MONTH($B$2))=9, "1"&amp;"Q"&amp;"-"&amp;YEAR($B$2),IF(INT(MONTH($B$2))=12, "2"&amp;"Q"&amp;"-"&amp;YEAR($B$2), 0))))</f>
        <v>3Q-2023</v>
      </c>
      <c r="F5" s="327" t="str">
        <f>IF(INT(MONTH($B$2))=3, "2"&amp;"Q"&amp;"-"&amp;YEAR($B$2)-1, IF(INT(MONTH($B$2))=6, "3"&amp;"Q"&amp;"-"&amp;YEAR($B$2)-1, IF(INT(MONTH($B$2))=9, "4"&amp;"Q"&amp;"-"&amp;YEAR($B$2)-1,IF(INT(MONTH($B$2))=12, "1"&amp;"Q"&amp;"-"&amp;YEAR($B$2), 0))))</f>
        <v>2Q-2023</v>
      </c>
      <c r="G5" s="327" t="str">
        <f>IF(INT(MONTH($B$2))=3, "1"&amp;"Q"&amp;"-"&amp;YEAR($B$2)-1, IF(INT(MONTH($B$2))=6, "2"&amp;"Q"&amp;"-"&amp;YEAR($B$2)-1, IF(INT(MONTH($B$2))=9, "3"&amp;"Q"&amp;"-"&amp;YEAR($B$2)-1,IF(INT(MONTH($B$2))=12, "4"&amp;"Q"&amp;"-"&amp;YEAR($B$2)-1, 0))))</f>
        <v>1Q-2023</v>
      </c>
    </row>
    <row r="6" spans="1:7" ht="15" customHeight="1">
      <c r="A6" s="261">
        <v>1</v>
      </c>
      <c r="B6" s="313" t="s">
        <v>115</v>
      </c>
      <c r="C6" s="262">
        <f>C7+C9+C10</f>
        <v>1690471624.9109747</v>
      </c>
      <c r="D6" s="315">
        <f>D7+D9+D10</f>
        <v>1644867891.5247724</v>
      </c>
      <c r="E6" s="263">
        <f t="shared" ref="E6:G6" si="0">E7+E9+E10</f>
        <v>1555571144.3906891</v>
      </c>
      <c r="F6" s="262">
        <f t="shared" si="0"/>
        <v>1513603449.19348</v>
      </c>
      <c r="G6" s="316">
        <f t="shared" si="0"/>
        <v>1457145175.4120243</v>
      </c>
    </row>
    <row r="7" spans="1:7" ht="15" customHeight="1">
      <c r="A7" s="261">
        <v>1.1000000000000001</v>
      </c>
      <c r="B7" s="264" t="s">
        <v>440</v>
      </c>
      <c r="C7" s="265">
        <v>1660720984.2457247</v>
      </c>
      <c r="D7" s="317">
        <v>1619083852.9935224</v>
      </c>
      <c r="E7" s="265">
        <v>1533806374.343189</v>
      </c>
      <c r="F7" s="265">
        <v>1493803420.6659799</v>
      </c>
      <c r="G7" s="318">
        <v>1438725774.1332741</v>
      </c>
    </row>
    <row r="8" spans="1:7" ht="27.6">
      <c r="A8" s="261" t="s">
        <v>161</v>
      </c>
      <c r="B8" s="266" t="s">
        <v>254</v>
      </c>
      <c r="C8" s="265"/>
      <c r="D8" s="317"/>
      <c r="E8" s="265"/>
      <c r="F8" s="265"/>
      <c r="G8" s="318"/>
    </row>
    <row r="9" spans="1:7" ht="15" customHeight="1">
      <c r="A9" s="261">
        <v>1.2</v>
      </c>
      <c r="B9" s="264" t="s">
        <v>23</v>
      </c>
      <c r="C9" s="265">
        <v>24688313.446249999</v>
      </c>
      <c r="D9" s="317">
        <v>21165112.041249998</v>
      </c>
      <c r="E9" s="265">
        <v>18026448.327499997</v>
      </c>
      <c r="F9" s="265">
        <v>16187572.1175</v>
      </c>
      <c r="G9" s="318">
        <v>14885125.138750002</v>
      </c>
    </row>
    <row r="10" spans="1:7" ht="15" customHeight="1">
      <c r="A10" s="261">
        <v>1.3</v>
      </c>
      <c r="B10" s="314" t="s">
        <v>77</v>
      </c>
      <c r="C10" s="265">
        <v>5062327.2189999996</v>
      </c>
      <c r="D10" s="317">
        <v>4618926.49</v>
      </c>
      <c r="E10" s="265">
        <v>3738321.72</v>
      </c>
      <c r="F10" s="265">
        <v>3612456.41</v>
      </c>
      <c r="G10" s="318">
        <v>3534276.14</v>
      </c>
    </row>
    <row r="11" spans="1:7" ht="15" customHeight="1">
      <c r="A11" s="261">
        <v>2</v>
      </c>
      <c r="B11" s="313" t="s">
        <v>116</v>
      </c>
      <c r="C11" s="265">
        <v>786633.70000243757</v>
      </c>
      <c r="D11" s="317">
        <v>2524980</v>
      </c>
      <c r="E11" s="265">
        <v>912850.53000352031</v>
      </c>
      <c r="F11" s="265">
        <v>680131.54784977494</v>
      </c>
      <c r="G11" s="318">
        <v>396149</v>
      </c>
    </row>
    <row r="12" spans="1:7" ht="15" customHeight="1">
      <c r="A12" s="261">
        <v>3</v>
      </c>
      <c r="B12" s="313" t="s">
        <v>114</v>
      </c>
      <c r="C12" s="265">
        <v>497590830.13999999</v>
      </c>
      <c r="D12" s="317">
        <v>497590830.13999999</v>
      </c>
      <c r="E12" s="265">
        <v>435833167.47878599</v>
      </c>
      <c r="F12" s="265">
        <v>435833167.47878599</v>
      </c>
      <c r="G12" s="318">
        <v>435833167.47878599</v>
      </c>
    </row>
    <row r="13" spans="1:7" ht="15" customHeight="1" thickBot="1">
      <c r="A13" s="76">
        <v>4</v>
      </c>
      <c r="B13" s="321" t="s">
        <v>162</v>
      </c>
      <c r="C13" s="164">
        <f>C6+C11+C12</f>
        <v>2188849088.750977</v>
      </c>
      <c r="D13" s="319">
        <f>D6+D11+D12</f>
        <v>2144983701.6647725</v>
      </c>
      <c r="E13" s="165">
        <f t="shared" ref="E13:G13" si="1">E6+E11+E12</f>
        <v>1992317162.3994787</v>
      </c>
      <c r="F13" s="164">
        <f t="shared" si="1"/>
        <v>1950116748.2201159</v>
      </c>
      <c r="G13" s="320">
        <f t="shared" si="1"/>
        <v>1893374491.8908103</v>
      </c>
    </row>
    <row r="14" spans="1:7">
      <c r="B14" s="17"/>
    </row>
    <row r="15" spans="1:7" ht="27.6">
      <c r="B15" s="17" t="s">
        <v>441</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3"/>
  <sheetViews>
    <sheetView showGridLines="0" zoomScaleNormal="100" workbookViewId="0">
      <pane xSplit="1" ySplit="4" topLeftCell="B30" activePane="bottomRight" state="frozen"/>
      <selection pane="topRight" activeCell="B1" sqref="B1"/>
      <selection pane="bottomLeft" activeCell="A4" sqref="A4"/>
      <selection pane="bottomRight" activeCell="C35" sqref="C35:C42"/>
    </sheetView>
  </sheetViews>
  <sheetFormatPr defaultRowHeight="14.4"/>
  <cols>
    <col min="1" max="1" width="9.5546875" style="1" bestFit="1" customWidth="1"/>
    <col min="2" max="2" width="58.77734375" style="1" customWidth="1"/>
    <col min="3" max="3" width="40.21875" style="1" bestFit="1" customWidth="1"/>
  </cols>
  <sheetData>
    <row r="1" spans="1:8">
      <c r="A1" s="1" t="s">
        <v>111</v>
      </c>
      <c r="B1" s="1" t="str">
        <f>Info!C2</f>
        <v>სს "კრედო ბანკი"</v>
      </c>
    </row>
    <row r="2" spans="1:8">
      <c r="A2" s="1" t="s">
        <v>112</v>
      </c>
      <c r="B2" s="338">
        <f>'1. key ratios'!B2</f>
        <v>45382</v>
      </c>
    </row>
    <row r="4" spans="1:8" ht="25.5" customHeight="1" thickBot="1">
      <c r="A4" s="158" t="s">
        <v>258</v>
      </c>
      <c r="B4" s="24" t="s">
        <v>94</v>
      </c>
      <c r="C4" s="9"/>
    </row>
    <row r="5" spans="1:8">
      <c r="A5" s="7"/>
      <c r="B5" s="309" t="s">
        <v>95</v>
      </c>
      <c r="C5" s="325" t="s">
        <v>454</v>
      </c>
    </row>
    <row r="6" spans="1:8" ht="15">
      <c r="A6" s="10">
        <v>1</v>
      </c>
      <c r="B6" s="25" t="s">
        <v>964</v>
      </c>
      <c r="C6" s="322" t="s">
        <v>965</v>
      </c>
    </row>
    <row r="7" spans="1:8" ht="15">
      <c r="A7" s="10">
        <v>2</v>
      </c>
      <c r="B7" s="25" t="s">
        <v>966</v>
      </c>
      <c r="C7" s="322" t="s">
        <v>967</v>
      </c>
    </row>
    <row r="8" spans="1:8" ht="15">
      <c r="A8" s="10">
        <v>3</v>
      </c>
      <c r="B8" s="25" t="s">
        <v>968</v>
      </c>
      <c r="C8" s="322" t="s">
        <v>967</v>
      </c>
    </row>
    <row r="9" spans="1:8" ht="15">
      <c r="A9" s="10">
        <v>4</v>
      </c>
      <c r="B9" s="25" t="s">
        <v>969</v>
      </c>
      <c r="C9" s="322" t="s">
        <v>967</v>
      </c>
    </row>
    <row r="10" spans="1:8" ht="15">
      <c r="A10" s="10">
        <v>5</v>
      </c>
      <c r="B10" s="25" t="s">
        <v>970</v>
      </c>
      <c r="C10" s="322" t="s">
        <v>971</v>
      </c>
    </row>
    <row r="11" spans="1:8" ht="15">
      <c r="A11" s="10">
        <v>6</v>
      </c>
      <c r="B11" s="25" t="s">
        <v>972</v>
      </c>
      <c r="C11" s="322" t="s">
        <v>971</v>
      </c>
    </row>
    <row r="12" spans="1:8" ht="15">
      <c r="A12" s="10">
        <v>7</v>
      </c>
      <c r="B12" s="25"/>
      <c r="C12" s="322"/>
      <c r="H12" s="2"/>
    </row>
    <row r="13" spans="1:8" ht="15">
      <c r="A13" s="10">
        <v>8</v>
      </c>
      <c r="B13" s="25"/>
      <c r="C13" s="322"/>
    </row>
    <row r="14" spans="1:8" ht="15">
      <c r="A14" s="10">
        <v>9</v>
      </c>
      <c r="B14" s="25"/>
      <c r="C14" s="322"/>
    </row>
    <row r="15" spans="1:8" ht="15">
      <c r="A15" s="10">
        <v>10</v>
      </c>
      <c r="B15" s="25"/>
      <c r="C15" s="322"/>
    </row>
    <row r="16" spans="1:8" ht="15">
      <c r="A16" s="10"/>
      <c r="B16" s="784"/>
      <c r="C16" s="785"/>
    </row>
    <row r="17" spans="1:3" ht="41.4">
      <c r="A17" s="10"/>
      <c r="B17" s="310" t="s">
        <v>96</v>
      </c>
      <c r="C17" s="326" t="s">
        <v>455</v>
      </c>
    </row>
    <row r="18" spans="1:3">
      <c r="A18" s="10">
        <v>1</v>
      </c>
      <c r="B18" s="21" t="s">
        <v>961</v>
      </c>
      <c r="C18" s="324" t="s">
        <v>973</v>
      </c>
    </row>
    <row r="19" spans="1:3">
      <c r="A19" s="10">
        <v>2</v>
      </c>
      <c r="B19" s="21" t="s">
        <v>974</v>
      </c>
      <c r="C19" s="324" t="s">
        <v>975</v>
      </c>
    </row>
    <row r="20" spans="1:3">
      <c r="A20" s="10">
        <v>3</v>
      </c>
      <c r="B20" s="21" t="s">
        <v>976</v>
      </c>
      <c r="C20" s="324" t="s">
        <v>977</v>
      </c>
    </row>
    <row r="21" spans="1:3">
      <c r="A21" s="10">
        <v>4</v>
      </c>
      <c r="B21" s="21" t="s">
        <v>978</v>
      </c>
      <c r="C21" s="324" t="s">
        <v>979</v>
      </c>
    </row>
    <row r="22" spans="1:3">
      <c r="A22" s="10">
        <v>5</v>
      </c>
      <c r="B22" s="21" t="s">
        <v>980</v>
      </c>
      <c r="C22" s="324" t="s">
        <v>981</v>
      </c>
    </row>
    <row r="23" spans="1:3">
      <c r="A23" s="10">
        <v>6</v>
      </c>
      <c r="B23" s="21" t="s">
        <v>982</v>
      </c>
      <c r="C23" s="324" t="s">
        <v>983</v>
      </c>
    </row>
    <row r="24" spans="1:3" ht="15.75" customHeight="1">
      <c r="A24" s="10"/>
      <c r="B24" s="21"/>
      <c r="C24" s="22"/>
    </row>
    <row r="25" spans="1:3" ht="30" customHeight="1">
      <c r="A25" s="10"/>
      <c r="B25" s="786" t="s">
        <v>97</v>
      </c>
      <c r="C25" s="787"/>
    </row>
    <row r="26" spans="1:3" ht="15">
      <c r="A26" s="10">
        <v>1</v>
      </c>
      <c r="B26" s="676" t="s">
        <v>984</v>
      </c>
      <c r="C26" s="679">
        <v>0.50838446671260196</v>
      </c>
    </row>
    <row r="27" spans="1:3" ht="15">
      <c r="A27" s="675">
        <v>2</v>
      </c>
      <c r="B27" s="676" t="s">
        <v>985</v>
      </c>
      <c r="C27" s="679">
        <v>8.3604754492603975E-2</v>
      </c>
    </row>
    <row r="28" spans="1:3" ht="15">
      <c r="A28" s="10">
        <v>3</v>
      </c>
      <c r="B28" s="676" t="s">
        <v>986</v>
      </c>
      <c r="C28" s="679">
        <v>8.3604754492603975E-2</v>
      </c>
    </row>
    <row r="29" spans="1:3" ht="15">
      <c r="A29" s="675">
        <v>4</v>
      </c>
      <c r="B29" s="676" t="s">
        <v>987</v>
      </c>
      <c r="C29" s="679">
        <v>7.8875596662719302E-2</v>
      </c>
    </row>
    <row r="30" spans="1:3" ht="28.8">
      <c r="A30" s="10">
        <v>5</v>
      </c>
      <c r="B30" s="676" t="s">
        <v>997</v>
      </c>
      <c r="C30" s="679">
        <v>7.4230888079796858E-2</v>
      </c>
    </row>
    <row r="31" spans="1:3" ht="28.8">
      <c r="A31" s="675">
        <v>6</v>
      </c>
      <c r="B31" s="676" t="s">
        <v>998</v>
      </c>
      <c r="C31" s="679">
        <v>1.5792009181936306E-2</v>
      </c>
    </row>
    <row r="32" spans="1:3" ht="28.8">
      <c r="A32" s="10">
        <v>7</v>
      </c>
      <c r="B32" s="676" t="s">
        <v>988</v>
      </c>
      <c r="C32" s="679">
        <v>0.14863067465351817</v>
      </c>
    </row>
    <row r="33" spans="1:3" ht="15.75" customHeight="1">
      <c r="A33" s="10"/>
      <c r="B33" s="25"/>
      <c r="C33" s="26"/>
    </row>
    <row r="34" spans="1:3" ht="29.25" customHeight="1">
      <c r="A34" s="10"/>
      <c r="B34" s="786" t="s">
        <v>178</v>
      </c>
      <c r="C34" s="787"/>
    </row>
    <row r="35" spans="1:3" ht="15">
      <c r="A35" s="10">
        <v>1</v>
      </c>
      <c r="B35" s="676" t="s">
        <v>989</v>
      </c>
      <c r="C35" s="679">
        <v>6.0100000000000001E-2</v>
      </c>
    </row>
    <row r="36" spans="1:3" ht="15">
      <c r="A36" s="677">
        <v>2</v>
      </c>
      <c r="B36" s="678" t="s">
        <v>990</v>
      </c>
      <c r="C36" s="679">
        <v>6.0100000000000001E-2</v>
      </c>
    </row>
    <row r="37" spans="1:3" ht="15">
      <c r="A37" s="10">
        <v>3</v>
      </c>
      <c r="B37" s="678" t="s">
        <v>991</v>
      </c>
      <c r="C37" s="680">
        <v>7.5600000000000001E-2</v>
      </c>
    </row>
    <row r="38" spans="1:3" ht="15">
      <c r="A38" s="677">
        <v>4</v>
      </c>
      <c r="B38" s="678" t="s">
        <v>992</v>
      </c>
      <c r="C38" s="680">
        <v>6.4600000000000005E-2</v>
      </c>
    </row>
    <row r="39" spans="1:3" ht="15">
      <c r="A39" s="10">
        <v>5</v>
      </c>
      <c r="B39" s="678" t="s">
        <v>993</v>
      </c>
      <c r="C39" s="680">
        <v>0.1208</v>
      </c>
    </row>
    <row r="40" spans="1:3" ht="15">
      <c r="A40" s="677">
        <v>6</v>
      </c>
      <c r="B40" s="678" t="s">
        <v>994</v>
      </c>
      <c r="C40" s="680">
        <v>7.2499999999999995E-2</v>
      </c>
    </row>
    <row r="41" spans="1:3" ht="15">
      <c r="A41" s="10">
        <v>7</v>
      </c>
      <c r="B41" s="678" t="s">
        <v>995</v>
      </c>
      <c r="C41" s="680">
        <v>5.7000000000000002E-2</v>
      </c>
    </row>
    <row r="42" spans="1:3" ht="15">
      <c r="A42" s="677">
        <v>8</v>
      </c>
      <c r="B42" s="678" t="s">
        <v>996</v>
      </c>
      <c r="C42" s="680">
        <v>0.1162</v>
      </c>
    </row>
    <row r="43" spans="1:3" ht="15.6" thickBot="1">
      <c r="A43" s="11"/>
      <c r="B43" s="27"/>
      <c r="C43" s="323"/>
    </row>
  </sheetData>
  <mergeCells count="3">
    <mergeCell ref="B16:C16"/>
    <mergeCell ref="B34:C34"/>
    <mergeCell ref="B25:C25"/>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90" zoomScaleNormal="90" workbookViewId="0">
      <pane xSplit="1" ySplit="5" topLeftCell="B6" activePane="bottomRight" state="frozen"/>
      <selection activeCell="H6" sqref="H6"/>
      <selection pane="topRight" activeCell="H6" sqref="H6"/>
      <selection pane="bottomLeft" activeCell="H6" sqref="H6"/>
      <selection pane="bottomRight" activeCell="C8" sqref="C8:E36"/>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111</v>
      </c>
      <c r="B1" s="12" t="str">
        <f>Info!C2</f>
        <v>სს "კრედო ბანკი"</v>
      </c>
    </row>
    <row r="2" spans="1:5" s="13" customFormat="1" ht="15.75" customHeight="1">
      <c r="A2" s="13" t="s">
        <v>112</v>
      </c>
      <c r="B2" s="338">
        <f>'1. key ratios'!B2</f>
        <v>45382</v>
      </c>
    </row>
    <row r="3" spans="1:5" s="13" customFormat="1" ht="15.75" customHeight="1"/>
    <row r="4" spans="1:5" s="13" customFormat="1" ht="15.75" customHeight="1" thickBot="1">
      <c r="A4" s="159" t="s">
        <v>259</v>
      </c>
      <c r="B4" s="160" t="s">
        <v>172</v>
      </c>
      <c r="C4" s="124"/>
      <c r="D4" s="124"/>
      <c r="E4" s="125" t="s">
        <v>90</v>
      </c>
    </row>
    <row r="5" spans="1:5" s="72" customFormat="1" ht="17.55" customHeight="1">
      <c r="A5" s="239"/>
      <c r="B5" s="240"/>
      <c r="C5" s="123" t="s">
        <v>0</v>
      </c>
      <c r="D5" s="123" t="s">
        <v>1</v>
      </c>
      <c r="E5" s="241" t="s">
        <v>2</v>
      </c>
    </row>
    <row r="6" spans="1:5" ht="14.55" customHeight="1">
      <c r="A6" s="242"/>
      <c r="B6" s="788" t="s">
        <v>148</v>
      </c>
      <c r="C6" s="788" t="s">
        <v>863</v>
      </c>
      <c r="D6" s="789" t="s">
        <v>147</v>
      </c>
      <c r="E6" s="790"/>
    </row>
    <row r="7" spans="1:5" ht="99.6" customHeight="1">
      <c r="A7" s="242"/>
      <c r="B7" s="788"/>
      <c r="C7" s="788"/>
      <c r="D7" s="237" t="s">
        <v>146</v>
      </c>
      <c r="E7" s="238" t="s">
        <v>357</v>
      </c>
    </row>
    <row r="8" spans="1:5" ht="22.5" customHeight="1">
      <c r="A8" s="459">
        <v>1</v>
      </c>
      <c r="B8" s="401" t="s">
        <v>850</v>
      </c>
      <c r="C8" s="682">
        <f>SUM(C9:C11)</f>
        <v>333335179.19999999</v>
      </c>
      <c r="D8" s="460">
        <f t="shared" ref="D8:E8" si="0">SUM(D9:D11)</f>
        <v>0</v>
      </c>
      <c r="E8" s="682">
        <f t="shared" si="0"/>
        <v>333335179.19999999</v>
      </c>
    </row>
    <row r="9" spans="1:5">
      <c r="A9" s="459">
        <v>1.1000000000000001</v>
      </c>
      <c r="B9" s="404" t="s">
        <v>99</v>
      </c>
      <c r="C9" s="460">
        <v>79502541.689999998</v>
      </c>
      <c r="D9" s="460"/>
      <c r="E9" s="681">
        <f t="shared" ref="E9:E15" si="1">C9-D9</f>
        <v>79502541.689999998</v>
      </c>
    </row>
    <row r="10" spans="1:5">
      <c r="A10" s="459">
        <v>1.2</v>
      </c>
      <c r="B10" s="404" t="s">
        <v>100</v>
      </c>
      <c r="C10" s="460">
        <v>190236710.34999996</v>
      </c>
      <c r="D10" s="460"/>
      <c r="E10" s="681">
        <f t="shared" si="1"/>
        <v>190236710.34999996</v>
      </c>
    </row>
    <row r="11" spans="1:5">
      <c r="A11" s="459">
        <v>1.3</v>
      </c>
      <c r="B11" s="404" t="s">
        <v>101</v>
      </c>
      <c r="C11" s="460">
        <v>63595927.160000004</v>
      </c>
      <c r="D11" s="460"/>
      <c r="E11" s="681">
        <f t="shared" si="1"/>
        <v>63595927.160000004</v>
      </c>
    </row>
    <row r="12" spans="1:5">
      <c r="A12" s="459">
        <v>2</v>
      </c>
      <c r="B12" s="405" t="s">
        <v>737</v>
      </c>
      <c r="C12" s="460"/>
      <c r="D12" s="460"/>
      <c r="E12" s="681">
        <f t="shared" si="1"/>
        <v>0</v>
      </c>
    </row>
    <row r="13" spans="1:5">
      <c r="A13" s="459">
        <v>2.1</v>
      </c>
      <c r="B13" s="406" t="s">
        <v>738</v>
      </c>
      <c r="C13" s="460"/>
      <c r="D13" s="460"/>
      <c r="E13" s="681">
        <f t="shared" si="1"/>
        <v>0</v>
      </c>
    </row>
    <row r="14" spans="1:5" ht="34.049999999999997" customHeight="1">
      <c r="A14" s="459">
        <v>3</v>
      </c>
      <c r="B14" s="407" t="s">
        <v>739</v>
      </c>
      <c r="C14" s="460"/>
      <c r="D14" s="460"/>
      <c r="E14" s="681">
        <f t="shared" si="1"/>
        <v>0</v>
      </c>
    </row>
    <row r="15" spans="1:5" ht="32.549999999999997" customHeight="1">
      <c r="A15" s="459">
        <v>4</v>
      </c>
      <c r="B15" s="408" t="s">
        <v>740</v>
      </c>
      <c r="C15" s="460">
        <v>690577.37</v>
      </c>
      <c r="D15" s="460"/>
      <c r="E15" s="681">
        <f t="shared" si="1"/>
        <v>690577.37</v>
      </c>
    </row>
    <row r="16" spans="1:5" ht="22.95" customHeight="1">
      <c r="A16" s="459">
        <v>5</v>
      </c>
      <c r="B16" s="408" t="s">
        <v>741</v>
      </c>
      <c r="C16" s="460">
        <f>SUM(C17:C19)</f>
        <v>0</v>
      </c>
      <c r="D16" s="460">
        <f t="shared" ref="D16:E16" si="2">SUM(D17:D19)</f>
        <v>0</v>
      </c>
      <c r="E16" s="460">
        <f t="shared" si="2"/>
        <v>0</v>
      </c>
    </row>
    <row r="17" spans="1:5">
      <c r="A17" s="459">
        <v>5.0999999999999996</v>
      </c>
      <c r="B17" s="409" t="s">
        <v>742</v>
      </c>
      <c r="C17" s="460"/>
      <c r="D17" s="460"/>
      <c r="E17" s="460"/>
    </row>
    <row r="18" spans="1:5">
      <c r="A18" s="459">
        <v>5.2</v>
      </c>
      <c r="B18" s="409" t="s">
        <v>573</v>
      </c>
      <c r="C18" s="460"/>
      <c r="D18" s="460"/>
      <c r="E18" s="460"/>
    </row>
    <row r="19" spans="1:5">
      <c r="A19" s="459">
        <v>5.3</v>
      </c>
      <c r="B19" s="409" t="s">
        <v>743</v>
      </c>
      <c r="C19" s="460"/>
      <c r="D19" s="460"/>
      <c r="E19" s="460"/>
    </row>
    <row r="20" spans="1:5" ht="20.399999999999999">
      <c r="A20" s="459">
        <v>6</v>
      </c>
      <c r="B20" s="407" t="s">
        <v>744</v>
      </c>
      <c r="C20" s="682">
        <f>SUM(C21:C22)</f>
        <v>2064352987.1609352</v>
      </c>
      <c r="D20" s="460">
        <f t="shared" ref="D20:E20" si="3">SUM(D21:D22)</f>
        <v>0</v>
      </c>
      <c r="E20" s="682">
        <f t="shared" si="3"/>
        <v>2064352987.1609352</v>
      </c>
    </row>
    <row r="21" spans="1:5">
      <c r="A21" s="459">
        <v>6.1</v>
      </c>
      <c r="B21" s="409" t="s">
        <v>573</v>
      </c>
      <c r="C21" s="461">
        <v>22367209.940000001</v>
      </c>
      <c r="D21" s="461"/>
      <c r="E21" s="681">
        <f t="shared" ref="E21:E22" si="4">C21-D21</f>
        <v>22367209.940000001</v>
      </c>
    </row>
    <row r="22" spans="1:5">
      <c r="A22" s="459">
        <v>6.2</v>
      </c>
      <c r="B22" s="409" t="s">
        <v>743</v>
      </c>
      <c r="C22" s="461">
        <v>2041985777.2209351</v>
      </c>
      <c r="D22" s="461"/>
      <c r="E22" s="681">
        <f t="shared" si="4"/>
        <v>2041985777.2209351</v>
      </c>
    </row>
    <row r="23" spans="1:5" ht="20.399999999999999">
      <c r="A23" s="459">
        <v>7</v>
      </c>
      <c r="B23" s="410" t="s">
        <v>745</v>
      </c>
      <c r="C23" s="462"/>
      <c r="D23" s="462"/>
      <c r="E23" s="462"/>
    </row>
    <row r="24" spans="1:5" ht="20.399999999999999">
      <c r="A24" s="459">
        <v>8</v>
      </c>
      <c r="B24" s="411" t="s">
        <v>746</v>
      </c>
      <c r="C24" s="462"/>
      <c r="D24" s="462"/>
      <c r="E24" s="462"/>
    </row>
    <row r="25" spans="1:5">
      <c r="A25" s="459">
        <v>9</v>
      </c>
      <c r="B25" s="408" t="s">
        <v>747</v>
      </c>
      <c r="C25" s="683">
        <f>SUM(C26:C27)</f>
        <v>45329946.490000002</v>
      </c>
      <c r="D25" s="462">
        <f t="shared" ref="D25:E25" si="5">SUM(D26:D27)</f>
        <v>0</v>
      </c>
      <c r="E25" s="683">
        <f t="shared" si="5"/>
        <v>45329946.490000002</v>
      </c>
    </row>
    <row r="26" spans="1:5">
      <c r="A26" s="459">
        <v>9.1</v>
      </c>
      <c r="B26" s="412" t="s">
        <v>748</v>
      </c>
      <c r="C26" s="462">
        <v>45329946.490000002</v>
      </c>
      <c r="D26" s="462"/>
      <c r="E26" s="681">
        <f t="shared" ref="E26" si="6">C26-D26</f>
        <v>45329946.490000002</v>
      </c>
    </row>
    <row r="27" spans="1:5">
      <c r="A27" s="459">
        <v>9.1999999999999993</v>
      </c>
      <c r="B27" s="412" t="s">
        <v>749</v>
      </c>
      <c r="C27" s="462"/>
      <c r="D27" s="462"/>
      <c r="E27" s="462"/>
    </row>
    <row r="28" spans="1:5">
      <c r="A28" s="459">
        <v>10</v>
      </c>
      <c r="B28" s="408" t="s">
        <v>38</v>
      </c>
      <c r="C28" s="683">
        <f>SUM(C29:C30)</f>
        <v>23157935.830000002</v>
      </c>
      <c r="D28" s="462">
        <f t="shared" ref="D28:E28" si="7">SUM(D29:D30)</f>
        <v>23157935.830000002</v>
      </c>
      <c r="E28" s="683">
        <f t="shared" si="7"/>
        <v>0</v>
      </c>
    </row>
    <row r="29" spans="1:5">
      <c r="A29" s="459">
        <v>10.1</v>
      </c>
      <c r="B29" s="412" t="s">
        <v>750</v>
      </c>
      <c r="C29" s="462"/>
      <c r="D29" s="462"/>
      <c r="E29" s="462"/>
    </row>
    <row r="30" spans="1:5">
      <c r="A30" s="459">
        <v>10.199999999999999</v>
      </c>
      <c r="B30" s="412" t="s">
        <v>751</v>
      </c>
      <c r="C30" s="462">
        <v>23157935.830000002</v>
      </c>
      <c r="D30" s="462">
        <v>23157935.830000002</v>
      </c>
      <c r="E30" s="681">
        <f t="shared" ref="E30" si="8">C30-D30</f>
        <v>0</v>
      </c>
    </row>
    <row r="31" spans="1:5">
      <c r="A31" s="459">
        <v>11</v>
      </c>
      <c r="B31" s="408" t="s">
        <v>752</v>
      </c>
      <c r="C31" s="462">
        <f>SUM(C32:C33)</f>
        <v>0</v>
      </c>
      <c r="D31" s="462">
        <f t="shared" ref="D31:E31" si="9">SUM(D32:D33)</f>
        <v>0</v>
      </c>
      <c r="E31" s="462">
        <f t="shared" si="9"/>
        <v>0</v>
      </c>
    </row>
    <row r="32" spans="1:5">
      <c r="A32" s="459">
        <v>11.1</v>
      </c>
      <c r="B32" s="412" t="s">
        <v>753</v>
      </c>
      <c r="C32" s="462">
        <v>0</v>
      </c>
      <c r="D32" s="462"/>
      <c r="E32" s="462"/>
    </row>
    <row r="33" spans="1:7">
      <c r="A33" s="459">
        <v>11.2</v>
      </c>
      <c r="B33" s="412" t="s">
        <v>754</v>
      </c>
      <c r="C33" s="462">
        <v>0</v>
      </c>
      <c r="D33" s="462"/>
      <c r="E33" s="462"/>
    </row>
    <row r="34" spans="1:7">
      <c r="A34" s="459">
        <v>13</v>
      </c>
      <c r="B34" s="408" t="s">
        <v>102</v>
      </c>
      <c r="C34" s="684">
        <v>42959333.080000013</v>
      </c>
      <c r="D34" s="461"/>
      <c r="E34" s="685">
        <f t="shared" ref="E34:E35" si="10">C34-D34</f>
        <v>42959333.080000013</v>
      </c>
    </row>
    <row r="35" spans="1:7">
      <c r="A35" s="459">
        <v>13.1</v>
      </c>
      <c r="B35" s="413" t="s">
        <v>755</v>
      </c>
      <c r="C35" s="461">
        <v>14614563.279999999</v>
      </c>
      <c r="D35" s="461"/>
      <c r="E35" s="681">
        <f t="shared" si="10"/>
        <v>14614563.279999999</v>
      </c>
    </row>
    <row r="36" spans="1:7">
      <c r="A36" s="459">
        <v>13.2</v>
      </c>
      <c r="B36" s="413" t="s">
        <v>756</v>
      </c>
      <c r="C36" s="461"/>
      <c r="D36" s="461"/>
      <c r="E36" s="461"/>
    </row>
    <row r="37" spans="1:7" ht="42" thickBot="1">
      <c r="A37" s="243"/>
      <c r="B37" s="244" t="s">
        <v>324</v>
      </c>
      <c r="C37" s="205">
        <f>SUM(C8,C12,C14,C15,C16,C20,C23,C24,C25,C28,C31,C34)</f>
        <v>2509825959.1309347</v>
      </c>
      <c r="D37" s="205">
        <f t="shared" ref="D37:E37" si="11">SUM(D8,D12,D14,D15,D16,D20,D23,D24,D25,D28,D31,D34)</f>
        <v>23157935.830000002</v>
      </c>
      <c r="E37" s="205">
        <f t="shared" si="11"/>
        <v>2486668023.3009348</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8" sqref="B18"/>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111</v>
      </c>
      <c r="B1" s="12" t="str">
        <f>Info!C2</f>
        <v>სს "კრედო ბანკი"</v>
      </c>
    </row>
    <row r="2" spans="1:6" s="13" customFormat="1" ht="15.75" customHeight="1">
      <c r="A2" s="13" t="s">
        <v>112</v>
      </c>
      <c r="B2" s="338">
        <f>'1. key ratios'!B2</f>
        <v>45382</v>
      </c>
      <c r="C2"/>
      <c r="D2"/>
      <c r="E2"/>
      <c r="F2"/>
    </row>
    <row r="3" spans="1:6" s="13" customFormat="1" ht="15.75" customHeight="1">
      <c r="C3"/>
      <c r="D3"/>
      <c r="E3"/>
      <c r="F3"/>
    </row>
    <row r="4" spans="1:6" s="13" customFormat="1" ht="28.2" thickBot="1">
      <c r="A4" s="13" t="s">
        <v>260</v>
      </c>
      <c r="B4" s="131" t="s">
        <v>175</v>
      </c>
      <c r="C4" s="125" t="s">
        <v>90</v>
      </c>
      <c r="D4"/>
      <c r="E4"/>
      <c r="F4"/>
    </row>
    <row r="5" spans="1:6">
      <c r="A5" s="126">
        <v>1</v>
      </c>
      <c r="B5" s="127" t="s">
        <v>734</v>
      </c>
      <c r="C5" s="166">
        <f>'7. LI1'!E37</f>
        <v>2486668023.3009348</v>
      </c>
    </row>
    <row r="6" spans="1:6">
      <c r="A6" s="71">
        <v>2.1</v>
      </c>
      <c r="B6" s="133" t="s">
        <v>868</v>
      </c>
      <c r="C6" s="167">
        <v>65829995.260000005</v>
      </c>
    </row>
    <row r="7" spans="1:6" s="2" customFormat="1" ht="27.6" outlineLevel="1">
      <c r="A7" s="132">
        <v>2.2000000000000002</v>
      </c>
      <c r="B7" s="128" t="s">
        <v>869</v>
      </c>
      <c r="C7" s="168">
        <v>253116360.94999999</v>
      </c>
    </row>
    <row r="8" spans="1:6" s="2" customFormat="1" ht="27.6">
      <c r="A8" s="132">
        <v>3</v>
      </c>
      <c r="B8" s="129" t="s">
        <v>735</v>
      </c>
      <c r="C8" s="169">
        <f>SUM(C5:C7)</f>
        <v>2805614379.5109348</v>
      </c>
    </row>
    <row r="9" spans="1:6">
      <c r="A9" s="71">
        <v>4</v>
      </c>
      <c r="B9" s="136" t="s">
        <v>173</v>
      </c>
      <c r="C9" s="167"/>
    </row>
    <row r="10" spans="1:6" s="2" customFormat="1" ht="27.6" outlineLevel="1">
      <c r="A10" s="132">
        <v>5.0999999999999996</v>
      </c>
      <c r="B10" s="128" t="s">
        <v>179</v>
      </c>
      <c r="C10" s="168">
        <f>32041329.545-C6</f>
        <v>-33788665.715000004</v>
      </c>
    </row>
    <row r="11" spans="1:6" s="2" customFormat="1" ht="27.6" outlineLevel="1">
      <c r="A11" s="132">
        <v>5.2</v>
      </c>
      <c r="B11" s="128" t="s">
        <v>180</v>
      </c>
      <c r="C11" s="168">
        <f>5062327.219-C7</f>
        <v>-248054033.73099998</v>
      </c>
    </row>
    <row r="12" spans="1:6" s="2" customFormat="1">
      <c r="A12" s="132">
        <v>6</v>
      </c>
      <c r="B12" s="134" t="s">
        <v>442</v>
      </c>
      <c r="C12" s="168"/>
    </row>
    <row r="13" spans="1:6" s="2" customFormat="1" ht="15" thickBot="1">
      <c r="A13" s="135">
        <v>7</v>
      </c>
      <c r="B13" s="130" t="s">
        <v>174</v>
      </c>
      <c r="C13" s="170">
        <f>SUM(C8:C12)</f>
        <v>2523771680.0649347</v>
      </c>
    </row>
    <row r="15" spans="1:6" ht="27.6">
      <c r="B15" s="17" t="s">
        <v>443</v>
      </c>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2024-04-26T08:04:23Z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